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E:\General\IT 2026-27\"/>
    </mc:Choice>
  </mc:AlternateContent>
  <xr:revisionPtr revIDLastSave="0" documentId="13_ncr:1_{59891F49-32CE-445A-BB6A-08D8AB860614}" xr6:coauthVersionLast="47" xr6:coauthVersionMax="47" xr10:uidLastSave="{00000000-0000-0000-0000-000000000000}"/>
  <bookViews>
    <workbookView showSheetTabs="0" xWindow="-108" yWindow="-108" windowWidth="23256" windowHeight="12456" tabRatio="503" xr2:uid="{00000000-000D-0000-FFFF-FFFF00000000}"/>
  </bookViews>
  <sheets>
    <sheet name="Form" sheetId="3" r:id="rId1"/>
    <sheet name="Monthly Salary" sheetId="2" r:id="rId2"/>
    <sheet name="IT statement" sheetId="1" r:id="rId3"/>
    <sheet name="Data" sheetId="5" r:id="rId4"/>
    <sheet name="Form 10E" sheetId="6" r:id="rId5"/>
    <sheet name="Calc" sheetId="7" r:id="rId6"/>
    <sheet name="Rates" sheetId="8" r:id="rId7"/>
    <sheet name="HELP" sheetId="4" r:id="rId8"/>
  </sheets>
  <definedNames>
    <definedName name="data">Calc!$A$2:$C$32</definedName>
    <definedName name="_xlnm.Print_Area" localSheetId="3">Data!$Z$1</definedName>
    <definedName name="_xlnm.Print_Area" localSheetId="0">Form!$T$1</definedName>
    <definedName name="_xlnm.Print_Area" localSheetId="4">'Form 10E'!$B$3:$J$82</definedName>
    <definedName name="_xlnm.Print_Area" localSheetId="2">'IT statement'!$A$1:$L$139</definedName>
    <definedName name="_xlnm.Print_Area" localSheetId="1">'Monthly Salary'!$B$1:$S$26</definedName>
    <definedName name="_xlnm.Print_Area" localSheetId="6">Rates!$A$62:$F$79</definedName>
    <definedName name="Z_FB1B2773_2708_4BC7_98F1_55C7E60B40D3_.wvu.PrintArea" localSheetId="0" hidden="1">Form!#REF!</definedName>
    <definedName name="Z_FB1B2773_2708_4BC7_98F1_55C7E60B40D3_.wvu.PrintArea" localSheetId="2" hidden="1">'IT statement'!$A$1:$K$93</definedName>
    <definedName name="Z_FB1B2773_2708_4BC7_98F1_55C7E60B40D3_.wvu.PrintArea" localSheetId="1" hidden="1">'Monthly Salary'!$A$1:$K$24</definedName>
  </definedNames>
  <calcPr calcId="191029"/>
  <customWorkbookViews>
    <customWorkbookView name="1" guid="{FB1B2773-2708-4BC7-98F1-55C7E60B40D3}" maximized="1" xWindow="1" yWindow="1" windowWidth="1024" windowHeight="548" tabRatio="43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L44" i="1" l="1"/>
  <c r="D9" i="1"/>
  <c r="F5" i="2"/>
  <c r="F16" i="2" l="1"/>
  <c r="F15" i="2"/>
  <c r="F14" i="2"/>
  <c r="F13" i="2"/>
  <c r="F11" i="2"/>
  <c r="F10" i="2"/>
  <c r="F9" i="2"/>
  <c r="F8" i="2"/>
  <c r="F7" i="2"/>
  <c r="F6" i="2"/>
  <c r="E5" i="2"/>
  <c r="D5" i="2"/>
  <c r="H5" i="2" s="1"/>
  <c r="J9" i="3"/>
  <c r="J7" i="3"/>
  <c r="J8" i="3"/>
  <c r="K5" i="1"/>
  <c r="G5" i="2" l="1"/>
  <c r="I5" i="2"/>
  <c r="J107" i="1"/>
  <c r="G23" i="5" l="1"/>
  <c r="J10" i="5" l="1"/>
  <c r="J9" i="5"/>
  <c r="F7" i="6" s="1"/>
  <c r="J8" i="5"/>
  <c r="F82" i="6" s="1"/>
  <c r="J7" i="5"/>
  <c r="F45" i="6" s="1"/>
  <c r="J6" i="5"/>
  <c r="F44" i="6" s="1"/>
  <c r="D75" i="6"/>
  <c r="D74" i="6"/>
  <c r="D73" i="6"/>
  <c r="D72" i="6"/>
  <c r="D71" i="6"/>
  <c r="D70" i="6"/>
  <c r="D69" i="6"/>
  <c r="D68" i="6"/>
  <c r="D67" i="6"/>
  <c r="D66" i="6"/>
  <c r="D65" i="6"/>
  <c r="D64" i="6"/>
  <c r="D63" i="6"/>
  <c r="D62" i="6"/>
  <c r="D61" i="6"/>
  <c r="B20" i="6"/>
  <c r="H11" i="6"/>
  <c r="U38" i="5"/>
  <c r="T38" i="5"/>
  <c r="S38" i="5"/>
  <c r="R38" i="5"/>
  <c r="Q38" i="5"/>
  <c r="P38" i="5"/>
  <c r="O38" i="5"/>
  <c r="N38" i="5"/>
  <c r="M38" i="5"/>
  <c r="L38" i="5"/>
  <c r="K38" i="5"/>
  <c r="J38" i="5"/>
  <c r="I38" i="5"/>
  <c r="H38" i="5"/>
  <c r="G38" i="5"/>
  <c r="F38" i="5"/>
  <c r="U23" i="5"/>
  <c r="U37" i="5" s="1"/>
  <c r="U39" i="5" s="1"/>
  <c r="T23" i="5"/>
  <c r="T37" i="5" s="1"/>
  <c r="S23" i="5"/>
  <c r="S25" i="5" s="1"/>
  <c r="R23" i="5"/>
  <c r="R25" i="5" s="1"/>
  <c r="Q23" i="5"/>
  <c r="Q37" i="5" s="1"/>
  <c r="Q39" i="5" s="1"/>
  <c r="P23" i="5"/>
  <c r="P37" i="5" s="1"/>
  <c r="P39" i="5" s="1"/>
  <c r="O23" i="5"/>
  <c r="O37" i="5" s="1"/>
  <c r="N23" i="5"/>
  <c r="N25" i="5" s="1"/>
  <c r="M23" i="5"/>
  <c r="M37" i="5" s="1"/>
  <c r="L23" i="5"/>
  <c r="L37" i="5" s="1"/>
  <c r="K23" i="5"/>
  <c r="K37" i="5" s="1"/>
  <c r="J23" i="5"/>
  <c r="J25" i="5" s="1"/>
  <c r="I23" i="5"/>
  <c r="I37" i="5" s="1"/>
  <c r="H23" i="5"/>
  <c r="H37" i="5" s="1"/>
  <c r="G37" i="5"/>
  <c r="T16" i="5"/>
  <c r="K25" i="5" l="1"/>
  <c r="S37" i="5"/>
  <c r="I39" i="5"/>
  <c r="O39" i="5"/>
  <c r="O9" i="7" s="1"/>
  <c r="M39" i="5"/>
  <c r="K39" i="5"/>
  <c r="H39" i="5"/>
  <c r="G39" i="5"/>
  <c r="H32" i="6"/>
  <c r="F24" i="5"/>
  <c r="R37" i="5"/>
  <c r="R39" i="5" s="1"/>
  <c r="J37" i="5"/>
  <c r="J39" i="5" s="1"/>
  <c r="O25" i="5"/>
  <c r="O2" i="7" s="1"/>
  <c r="O26" i="5" s="1"/>
  <c r="S39" i="5"/>
  <c r="T39" i="5"/>
  <c r="L39" i="5"/>
  <c r="G25" i="5"/>
  <c r="D76" i="6"/>
  <c r="F46" i="6"/>
  <c r="F6" i="6"/>
  <c r="F80" i="6"/>
  <c r="B19" i="6"/>
  <c r="F81" i="6"/>
  <c r="AA3" i="7"/>
  <c r="J3" i="7"/>
  <c r="AA2" i="7"/>
  <c r="J2" i="7"/>
  <c r="J26" i="5" s="1"/>
  <c r="J27" i="5" s="1"/>
  <c r="AA4" i="7"/>
  <c r="J4" i="7"/>
  <c r="N3" i="7"/>
  <c r="N2" i="7"/>
  <c r="N26" i="5" s="1"/>
  <c r="N4" i="7"/>
  <c r="R3" i="7"/>
  <c r="R2" i="7"/>
  <c r="R26" i="5" s="1"/>
  <c r="R29" i="5" s="1"/>
  <c r="R4" i="7"/>
  <c r="P8" i="7"/>
  <c r="P40" i="5" s="1"/>
  <c r="P10" i="7"/>
  <c r="C66" i="6"/>
  <c r="E66" i="6" s="1"/>
  <c r="P9" i="7"/>
  <c r="S2" i="7"/>
  <c r="S26" i="5" s="1"/>
  <c r="S29" i="5" s="1"/>
  <c r="S4" i="7"/>
  <c r="S3" i="7"/>
  <c r="H25" i="5"/>
  <c r="T25" i="5"/>
  <c r="C65" i="6"/>
  <c r="E65" i="6" s="1"/>
  <c r="Q10" i="7"/>
  <c r="Q9" i="7"/>
  <c r="Q8" i="7"/>
  <c r="L25" i="5"/>
  <c r="I25" i="5"/>
  <c r="M25" i="5"/>
  <c r="Q25" i="5"/>
  <c r="U25" i="5"/>
  <c r="N37" i="5"/>
  <c r="N39" i="5" s="1"/>
  <c r="C61" i="6"/>
  <c r="U10" i="7"/>
  <c r="U9" i="7"/>
  <c r="U8" i="7"/>
  <c r="U40" i="5" s="1"/>
  <c r="P25" i="5"/>
  <c r="R43" i="5" l="1"/>
  <c r="S43" i="5"/>
  <c r="R30" i="5"/>
  <c r="R31" i="5" s="1"/>
  <c r="R32" i="5" s="1"/>
  <c r="F64" i="6" s="1"/>
  <c r="Q40" i="5"/>
  <c r="S30" i="5"/>
  <c r="S31" i="5" s="1"/>
  <c r="S32" i="5" s="1"/>
  <c r="F63" i="6" s="1"/>
  <c r="P41" i="5"/>
  <c r="S10" i="7"/>
  <c r="S8" i="7"/>
  <c r="S40" i="5" s="1"/>
  <c r="K3" i="7"/>
  <c r="K2" i="7"/>
  <c r="K26" i="5" s="1"/>
  <c r="K27" i="5" s="1"/>
  <c r="Z9" i="7"/>
  <c r="J43" i="5"/>
  <c r="K43" i="5"/>
  <c r="K4" i="7"/>
  <c r="C69" i="6"/>
  <c r="E69" i="6" s="1"/>
  <c r="N43" i="5"/>
  <c r="O43" i="5"/>
  <c r="J28" i="5"/>
  <c r="H8" i="7"/>
  <c r="H40" i="5" s="1"/>
  <c r="I10" i="7"/>
  <c r="C64" i="6"/>
  <c r="E64" i="6" s="1"/>
  <c r="G3" i="7"/>
  <c r="AA8" i="7"/>
  <c r="C62" i="6"/>
  <c r="E62" i="6" s="1"/>
  <c r="Z10" i="7"/>
  <c r="O10" i="7"/>
  <c r="T8" i="7"/>
  <c r="I9" i="7"/>
  <c r="C73" i="6"/>
  <c r="E73" i="6" s="1"/>
  <c r="C67" i="6"/>
  <c r="E67" i="6" s="1"/>
  <c r="I8" i="7"/>
  <c r="I40" i="5" s="1"/>
  <c r="I41" i="5" s="1"/>
  <c r="C63" i="6"/>
  <c r="E63" i="6" s="1"/>
  <c r="R9" i="7"/>
  <c r="R8" i="7"/>
  <c r="T9" i="7"/>
  <c r="Z8" i="7"/>
  <c r="S9" i="7"/>
  <c r="R10" i="7"/>
  <c r="T10" i="7"/>
  <c r="O3" i="7"/>
  <c r="O27" i="5" s="1"/>
  <c r="O4" i="7"/>
  <c r="Y8" i="7"/>
  <c r="H10" i="7"/>
  <c r="M8" i="7"/>
  <c r="M40" i="5" s="1"/>
  <c r="O8" i="7"/>
  <c r="N27" i="5"/>
  <c r="K9" i="7"/>
  <c r="M9" i="7"/>
  <c r="M10" i="7"/>
  <c r="J9" i="7"/>
  <c r="AA9" i="7"/>
  <c r="C72" i="6"/>
  <c r="E72" i="6" s="1"/>
  <c r="J10" i="7"/>
  <c r="K10" i="7"/>
  <c r="K8" i="7"/>
  <c r="C71" i="6"/>
  <c r="E71" i="6" s="1"/>
  <c r="L9" i="7"/>
  <c r="C70" i="6"/>
  <c r="E70" i="6" s="1"/>
  <c r="L10" i="7"/>
  <c r="L8" i="7"/>
  <c r="AA10" i="7"/>
  <c r="J8" i="7"/>
  <c r="J40" i="5" s="1"/>
  <c r="H9" i="7"/>
  <c r="Y9" i="7"/>
  <c r="C74" i="6"/>
  <c r="E74" i="6" s="1"/>
  <c r="Y10" i="7"/>
  <c r="C75" i="6"/>
  <c r="E75" i="6" s="1"/>
  <c r="G10" i="7"/>
  <c r="G8" i="7"/>
  <c r="G9" i="7"/>
  <c r="X9" i="7"/>
  <c r="X8" i="7"/>
  <c r="G40" i="5" s="1"/>
  <c r="G41" i="5" s="1"/>
  <c r="X10" i="7"/>
  <c r="G2" i="7"/>
  <c r="X4" i="7"/>
  <c r="X3" i="7"/>
  <c r="X2" i="7"/>
  <c r="G4" i="7"/>
  <c r="T4" i="7"/>
  <c r="T3" i="7"/>
  <c r="T2" i="7"/>
  <c r="P4" i="7"/>
  <c r="P3" i="7"/>
  <c r="P2" i="7"/>
  <c r="E61" i="6"/>
  <c r="Z4" i="7"/>
  <c r="I4" i="7"/>
  <c r="Z3" i="7"/>
  <c r="I3" i="7"/>
  <c r="Z2" i="7"/>
  <c r="I2" i="7"/>
  <c r="I26" i="5" s="1"/>
  <c r="I43" i="5" s="1"/>
  <c r="Y4" i="7"/>
  <c r="H4" i="7"/>
  <c r="Y3" i="7"/>
  <c r="H3" i="7"/>
  <c r="Y2" i="7"/>
  <c r="H2" i="7"/>
  <c r="H26" i="5" s="1"/>
  <c r="H43" i="5" s="1"/>
  <c r="Q4" i="7"/>
  <c r="Q3" i="7"/>
  <c r="Q2" i="7"/>
  <c r="L4" i="7"/>
  <c r="L3" i="7"/>
  <c r="L2" i="7"/>
  <c r="N10" i="7"/>
  <c r="N9" i="7"/>
  <c r="N8" i="7"/>
  <c r="N40" i="5" s="1"/>
  <c r="C68" i="6"/>
  <c r="E68" i="6" s="1"/>
  <c r="M4" i="7"/>
  <c r="M3" i="7"/>
  <c r="M2" i="7"/>
  <c r="M26" i="5" s="1"/>
  <c r="M43" i="5" s="1"/>
  <c r="U4" i="7"/>
  <c r="U3" i="7"/>
  <c r="U2" i="7"/>
  <c r="U26" i="5" s="1"/>
  <c r="U43" i="5" s="1"/>
  <c r="U44" i="5" s="1"/>
  <c r="U45" i="5" s="1"/>
  <c r="U46" i="5" s="1"/>
  <c r="G61" i="6" s="1"/>
  <c r="P16" i="3"/>
  <c r="F3" i="3"/>
  <c r="B6" i="2"/>
  <c r="B7" i="2"/>
  <c r="B8" i="2"/>
  <c r="B9" i="2"/>
  <c r="B10" i="2"/>
  <c r="B11" i="2"/>
  <c r="B12" i="2"/>
  <c r="B13" i="2"/>
  <c r="B14" i="2"/>
  <c r="B15" i="2"/>
  <c r="B16" i="2"/>
  <c r="I27" i="5" l="1"/>
  <c r="I28" i="5" s="1"/>
  <c r="Q41" i="5"/>
  <c r="Q42" i="5" s="1"/>
  <c r="J29" i="5"/>
  <c r="J30" i="5" s="1"/>
  <c r="J31" i="5" s="1"/>
  <c r="J32" i="5" s="1"/>
  <c r="F72" i="6" s="1"/>
  <c r="S44" i="5"/>
  <c r="S45" i="5" s="1"/>
  <c r="S46" i="5" s="1"/>
  <c r="G63" i="6" s="1"/>
  <c r="H63" i="6" s="1"/>
  <c r="U29" i="5"/>
  <c r="U30" i="5" s="1"/>
  <c r="Q26" i="5"/>
  <c r="T40" i="5"/>
  <c r="K40" i="5"/>
  <c r="K41" i="5" s="1"/>
  <c r="L26" i="5"/>
  <c r="L43" i="5" s="1"/>
  <c r="P26" i="5"/>
  <c r="T26" i="5"/>
  <c r="R40" i="5"/>
  <c r="R44" i="5" s="1"/>
  <c r="R45" i="5" s="1"/>
  <c r="R46" i="5" s="1"/>
  <c r="G64" i="6" s="1"/>
  <c r="H64" i="6" s="1"/>
  <c r="L40" i="5"/>
  <c r="L41" i="5" s="1"/>
  <c r="O40" i="5"/>
  <c r="O41" i="5" s="1"/>
  <c r="G26" i="5"/>
  <c r="P42" i="5"/>
  <c r="I42" i="5"/>
  <c r="I44" i="5" s="1"/>
  <c r="G42" i="5"/>
  <c r="N28" i="5"/>
  <c r="O28" i="5"/>
  <c r="K28" i="5"/>
  <c r="H41" i="5"/>
  <c r="M27" i="5"/>
  <c r="N41" i="5"/>
  <c r="H27" i="5"/>
  <c r="E76" i="6"/>
  <c r="C76" i="6"/>
  <c r="C5" i="2"/>
  <c r="M24" i="3"/>
  <c r="S15" i="2"/>
  <c r="S14" i="2"/>
  <c r="J106" i="1"/>
  <c r="J105" i="1"/>
  <c r="D110" i="1"/>
  <c r="D109" i="1"/>
  <c r="D108" i="1"/>
  <c r="D107" i="1"/>
  <c r="D106" i="1"/>
  <c r="D105" i="1"/>
  <c r="L104" i="1" l="1"/>
  <c r="L27" i="5"/>
  <c r="L28" i="5" s="1"/>
  <c r="C6" i="2"/>
  <c r="C7" i="2" s="1"/>
  <c r="C8" i="2" s="1"/>
  <c r="C9" i="2" s="1"/>
  <c r="C10" i="2" s="1"/>
  <c r="C11" i="2" s="1"/>
  <c r="C12" i="2" s="1"/>
  <c r="C13" i="2" s="1"/>
  <c r="C14" i="2" s="1"/>
  <c r="C15" i="2" s="1"/>
  <c r="C16" i="2" s="1"/>
  <c r="N29" i="5"/>
  <c r="N30" i="5" s="1"/>
  <c r="N31" i="5" s="1"/>
  <c r="N32" i="5" s="1"/>
  <c r="F68" i="6" s="1"/>
  <c r="T29" i="5"/>
  <c r="T30" i="5" s="1"/>
  <c r="T31" i="5" s="1"/>
  <c r="T32" i="5" s="1"/>
  <c r="F62" i="6" s="1"/>
  <c r="T43" i="5"/>
  <c r="T44" i="5" s="1"/>
  <c r="T45" i="5" s="1"/>
  <c r="T46" i="5" s="1"/>
  <c r="G62" i="6" s="1"/>
  <c r="K29" i="5"/>
  <c r="K30" i="5" s="1"/>
  <c r="K31" i="5" s="1"/>
  <c r="K32" i="5" s="1"/>
  <c r="F71" i="6" s="1"/>
  <c r="P27" i="5"/>
  <c r="P28" i="5" s="1"/>
  <c r="P43" i="5"/>
  <c r="P44" i="5" s="1"/>
  <c r="P45" i="5" s="1"/>
  <c r="P46" i="5" s="1"/>
  <c r="G66" i="6" s="1"/>
  <c r="I29" i="5"/>
  <c r="I30" i="5" s="1"/>
  <c r="I31" i="5" s="1"/>
  <c r="I32" i="5" s="1"/>
  <c r="F73" i="6" s="1"/>
  <c r="O29" i="5"/>
  <c r="O30" i="5" s="1"/>
  <c r="O31" i="5" s="1"/>
  <c r="O32" i="5" s="1"/>
  <c r="F67" i="6" s="1"/>
  <c r="Q27" i="5"/>
  <c r="Q28" i="5" s="1"/>
  <c r="Q43" i="5"/>
  <c r="Q44" i="5" s="1"/>
  <c r="Q45" i="5" s="1"/>
  <c r="Q46" i="5" s="1"/>
  <c r="G65" i="6" s="1"/>
  <c r="G27" i="5"/>
  <c r="G28" i="5" s="1"/>
  <c r="G43" i="5"/>
  <c r="G44" i="5" s="1"/>
  <c r="G45" i="5" s="1"/>
  <c r="G46" i="5" s="1"/>
  <c r="G75" i="6" s="1"/>
  <c r="K42" i="5"/>
  <c r="K44" i="5" s="1"/>
  <c r="K45" i="5" s="1"/>
  <c r="K46" i="5" s="1"/>
  <c r="G71" i="6" s="1"/>
  <c r="O42" i="5"/>
  <c r="O44" i="5" s="1"/>
  <c r="O45" i="5" s="1"/>
  <c r="O46" i="5" s="1"/>
  <c r="G67" i="6" s="1"/>
  <c r="L42" i="5"/>
  <c r="L44" i="5" s="1"/>
  <c r="L45" i="5" s="1"/>
  <c r="L46" i="5" s="1"/>
  <c r="G70" i="6" s="1"/>
  <c r="J41" i="5"/>
  <c r="J42" i="5" s="1"/>
  <c r="J44" i="5" s="1"/>
  <c r="M41" i="5"/>
  <c r="M42" i="5" s="1"/>
  <c r="M44" i="5" s="1"/>
  <c r="M45" i="5" s="1"/>
  <c r="M46" i="5" s="1"/>
  <c r="G69" i="6" s="1"/>
  <c r="I45" i="5"/>
  <c r="I46" i="5" s="1"/>
  <c r="G73" i="6" s="1"/>
  <c r="N42" i="5"/>
  <c r="N44" i="5" s="1"/>
  <c r="H42" i="5"/>
  <c r="H44" i="5" s="1"/>
  <c r="H28" i="5"/>
  <c r="U31" i="5"/>
  <c r="U32" i="5" s="1"/>
  <c r="F61" i="6" s="1"/>
  <c r="B115" i="1"/>
  <c r="B114" i="1"/>
  <c r="B113" i="1"/>
  <c r="B110" i="1"/>
  <c r="B109" i="1"/>
  <c r="B108" i="1"/>
  <c r="G107" i="1"/>
  <c r="B107" i="1"/>
  <c r="G106" i="1"/>
  <c r="B106" i="1"/>
  <c r="G105" i="1"/>
  <c r="B105" i="1"/>
  <c r="L75" i="1"/>
  <c r="L74" i="1"/>
  <c r="L72" i="1"/>
  <c r="L71" i="1"/>
  <c r="L66" i="1"/>
  <c r="L69" i="1"/>
  <c r="L68" i="1"/>
  <c r="L67" i="1"/>
  <c r="L65" i="1"/>
  <c r="L64" i="1"/>
  <c r="J9" i="1"/>
  <c r="C23" i="3"/>
  <c r="C24" i="3" s="1"/>
  <c r="C25" i="3" s="1"/>
  <c r="N18" i="3"/>
  <c r="P17" i="3"/>
  <c r="A2" i="1"/>
  <c r="L7" i="1"/>
  <c r="L6" i="1"/>
  <c r="B2" i="2"/>
  <c r="B5" i="2"/>
  <c r="P15" i="3"/>
  <c r="D6" i="2" l="1"/>
  <c r="H67" i="6"/>
  <c r="H71" i="6"/>
  <c r="Q29" i="5"/>
  <c r="Q30" i="5" s="1"/>
  <c r="Q31" i="5" s="1"/>
  <c r="Q32" i="5" s="1"/>
  <c r="F65" i="6" s="1"/>
  <c r="H65" i="6" s="1"/>
  <c r="P29" i="5"/>
  <c r="P30" i="5" s="1"/>
  <c r="P31" i="5" s="1"/>
  <c r="P32" i="5" s="1"/>
  <c r="F66" i="6" s="1"/>
  <c r="H66" i="6" s="1"/>
  <c r="L29" i="5"/>
  <c r="L30" i="5" s="1"/>
  <c r="L31" i="5" s="1"/>
  <c r="L32" i="5" s="1"/>
  <c r="F70" i="6" s="1"/>
  <c r="H70" i="6" s="1"/>
  <c r="H29" i="5"/>
  <c r="H30" i="5" s="1"/>
  <c r="H31" i="5" s="1"/>
  <c r="H32" i="5" s="1"/>
  <c r="F74" i="6" s="1"/>
  <c r="H62" i="6"/>
  <c r="G29" i="5"/>
  <c r="G30" i="5" s="1"/>
  <c r="G31" i="5" s="1"/>
  <c r="G32" i="5" s="1"/>
  <c r="F75" i="6" s="1"/>
  <c r="H75" i="6" s="1"/>
  <c r="J45" i="5"/>
  <c r="J46" i="5" s="1"/>
  <c r="G72" i="6" s="1"/>
  <c r="H72" i="6" s="1"/>
  <c r="H73" i="6"/>
  <c r="N45" i="5"/>
  <c r="N46" i="5" s="1"/>
  <c r="G68" i="6" s="1"/>
  <c r="H45" i="5"/>
  <c r="H46" i="5" s="1"/>
  <c r="G74" i="6" s="1"/>
  <c r="M28" i="5"/>
  <c r="H61" i="6"/>
  <c r="L73" i="1"/>
  <c r="L76" i="1" s="1"/>
  <c r="A1" i="1"/>
  <c r="I6" i="2" l="1"/>
  <c r="I18" i="2" s="1"/>
  <c r="H6" i="2"/>
  <c r="D7" i="2"/>
  <c r="D8" i="2" s="1"/>
  <c r="D9" i="2" s="1"/>
  <c r="H74" i="6"/>
  <c r="M29" i="5"/>
  <c r="M30" i="5" s="1"/>
  <c r="M31" i="5" s="1"/>
  <c r="M32" i="5" s="1"/>
  <c r="F69" i="6" s="1"/>
  <c r="G76" i="6"/>
  <c r="H68" i="6"/>
  <c r="L17" i="2"/>
  <c r="K20" i="2"/>
  <c r="K39" i="1" s="1"/>
  <c r="K22" i="2"/>
  <c r="J17" i="2"/>
  <c r="M17" i="2"/>
  <c r="N17" i="2"/>
  <c r="O17" i="2"/>
  <c r="O23" i="2" s="1"/>
  <c r="P17" i="2"/>
  <c r="P23" i="2" s="1"/>
  <c r="Q17" i="2"/>
  <c r="Q23" i="2" s="1"/>
  <c r="R17" i="2"/>
  <c r="R23" i="2" s="1"/>
  <c r="K56" i="1" s="1"/>
  <c r="P13" i="3"/>
  <c r="E7" i="3"/>
  <c r="P14" i="3"/>
  <c r="H24" i="3"/>
  <c r="D3" i="1"/>
  <c r="U5" i="2"/>
  <c r="D8" i="1"/>
  <c r="D7" i="1"/>
  <c r="E8" i="3"/>
  <c r="E14" i="3"/>
  <c r="E13" i="3"/>
  <c r="K4" i="1"/>
  <c r="D4" i="1"/>
  <c r="H15" i="3"/>
  <c r="K53" i="1" s="1"/>
  <c r="I7" i="2" l="1"/>
  <c r="H7" i="2"/>
  <c r="H69" i="6"/>
  <c r="H76" i="6" s="1"/>
  <c r="H37" i="6" s="1"/>
  <c r="F76" i="6"/>
  <c r="P18" i="3"/>
  <c r="M23" i="2"/>
  <c r="K50" i="1"/>
  <c r="N23" i="2"/>
  <c r="K54" i="1"/>
  <c r="L23" i="2"/>
  <c r="K49" i="1"/>
  <c r="K5" i="2"/>
  <c r="J21" i="2"/>
  <c r="H9" i="2" l="1"/>
  <c r="H8" i="2"/>
  <c r="I8" i="2"/>
  <c r="K60" i="1"/>
  <c r="E6" i="2"/>
  <c r="G6" i="2" s="1"/>
  <c r="G18" i="2" s="1"/>
  <c r="K21" i="2"/>
  <c r="K40" i="1" s="1"/>
  <c r="J23" i="2"/>
  <c r="L63" i="1" l="1"/>
  <c r="L77" i="1" s="1"/>
  <c r="D10" i="2"/>
  <c r="D11" i="2" s="1"/>
  <c r="E11" i="2" s="1"/>
  <c r="I9" i="2"/>
  <c r="K6" i="2"/>
  <c r="E7" i="2"/>
  <c r="G7" i="2" s="1"/>
  <c r="H10" i="2" l="1"/>
  <c r="I10" i="2"/>
  <c r="I11" i="2"/>
  <c r="H11" i="2"/>
  <c r="D12" i="2"/>
  <c r="D13" i="2" s="1"/>
  <c r="I13" i="2" s="1"/>
  <c r="I19" i="2" s="1"/>
  <c r="K7" i="2"/>
  <c r="E8" i="2"/>
  <c r="G8" i="2" s="1"/>
  <c r="E12" i="2" l="1"/>
  <c r="H13" i="2"/>
  <c r="I12" i="2"/>
  <c r="H12" i="2"/>
  <c r="D14" i="2"/>
  <c r="K8" i="2"/>
  <c r="K18" i="2"/>
  <c r="E9" i="2"/>
  <c r="G9" i="2" s="1"/>
  <c r="E13" i="2"/>
  <c r="I14" i="2" l="1"/>
  <c r="H14" i="2"/>
  <c r="D15" i="2"/>
  <c r="K9" i="2"/>
  <c r="E10" i="2"/>
  <c r="G10" i="2" s="1"/>
  <c r="E14" i="2"/>
  <c r="I15" i="2" l="1"/>
  <c r="H15" i="2"/>
  <c r="D16" i="2"/>
  <c r="K10" i="2"/>
  <c r="G11" i="2"/>
  <c r="E15" i="2"/>
  <c r="I16" i="2" l="1"/>
  <c r="H16" i="2"/>
  <c r="K11" i="2"/>
  <c r="G12" i="2"/>
  <c r="K12" i="2" l="1"/>
  <c r="G13" i="2"/>
  <c r="G19" i="2" s="1"/>
  <c r="K13" i="2" l="1"/>
  <c r="K19" i="2"/>
  <c r="K41" i="1" s="1"/>
  <c r="L42" i="1" s="1"/>
  <c r="G14" i="2"/>
  <c r="K14" i="2" l="1"/>
  <c r="G15" i="2"/>
  <c r="K15" i="2" l="1"/>
  <c r="H17" i="2"/>
  <c r="H23" i="2" s="1"/>
  <c r="J23" i="1" s="1"/>
  <c r="I17" i="2"/>
  <c r="I23" i="2" s="1"/>
  <c r="E16" i="2"/>
  <c r="E17" i="2" s="1"/>
  <c r="D17" i="2"/>
  <c r="D23" i="2" s="1"/>
  <c r="G16" i="2" l="1"/>
  <c r="K16" i="2" s="1"/>
  <c r="G17" i="2" l="1"/>
  <c r="G23" i="2" s="1"/>
  <c r="K17" i="2"/>
  <c r="K11" i="1" l="1"/>
  <c r="K33" i="1" s="1"/>
  <c r="K23" i="2"/>
  <c r="J25" i="1"/>
  <c r="J24" i="1"/>
  <c r="L36" i="1" l="1"/>
  <c r="L14" i="1"/>
  <c r="K26" i="1"/>
  <c r="L30" i="1" s="1"/>
  <c r="L31" i="1" l="1"/>
  <c r="L37" i="1" s="1"/>
  <c r="L16" i="1"/>
  <c r="L45" i="1" l="1"/>
  <c r="L46" i="1"/>
  <c r="L78" i="1" l="1"/>
  <c r="L87" i="1" s="1"/>
  <c r="L79" i="1"/>
  <c r="F14" i="5" l="1"/>
  <c r="F23" i="5" s="1"/>
  <c r="L97" i="1"/>
  <c r="L99" i="1"/>
  <c r="L98" i="1"/>
  <c r="H31" i="6" l="1"/>
  <c r="H33" i="6" s="1"/>
  <c r="F25" i="5"/>
  <c r="F37" i="5"/>
  <c r="F39" i="5" s="1"/>
  <c r="L100" i="1"/>
  <c r="L101" i="1" s="1"/>
  <c r="F10" i="7" l="1"/>
  <c r="F8" i="7"/>
  <c r="W10" i="7"/>
  <c r="W8" i="7"/>
  <c r="F40" i="5" s="1"/>
  <c r="F41" i="5" s="1"/>
  <c r="F42" i="5" s="1"/>
  <c r="F9" i="7"/>
  <c r="F43" i="5"/>
  <c r="W9" i="7"/>
  <c r="W3" i="7"/>
  <c r="F4" i="7"/>
  <c r="F3" i="7"/>
  <c r="F2" i="7"/>
  <c r="F29" i="5"/>
  <c r="W2" i="7"/>
  <c r="F26" i="5" s="1"/>
  <c r="F27" i="5" s="1"/>
  <c r="F28" i="5" s="1"/>
  <c r="F30" i="5" s="1"/>
  <c r="F31" i="5" s="1"/>
  <c r="F32" i="5" s="1"/>
  <c r="W4" i="7"/>
  <c r="F44" i="5" l="1"/>
  <c r="F45" i="5" s="1"/>
  <c r="F46" i="5" s="1"/>
  <c r="H35" i="6" s="1"/>
  <c r="T47" i="5"/>
  <c r="H34" i="6"/>
  <c r="T33" i="5"/>
  <c r="T49" i="5" s="1"/>
  <c r="H36" i="6" l="1"/>
  <c r="H38" i="6" s="1"/>
  <c r="L102" i="1"/>
  <c r="L103" i="1" s="1"/>
  <c r="L111" i="1" s="1"/>
  <c r="D115" i="1" s="1"/>
  <c r="S16" i="2" s="1"/>
  <c r="S17" i="2" s="1"/>
  <c r="S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Subbu</author>
  </authors>
  <commentList>
    <comment ref="I4" authorId="0" shapeId="0" xr:uid="{00000000-0006-0000-0100-000001000000}">
      <text>
        <r>
          <rPr>
            <sz val="8"/>
            <color indexed="81"/>
            <rFont val="Tahoma"/>
            <family val="2"/>
          </rPr>
          <t xml:space="preserve">TRASPORT
 ALLOWANCE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 Mohan Ramalingam</author>
    <author>Mohan Ramalingam</author>
  </authors>
  <commentList>
    <comment ref="A6" authorId="0" shapeId="0" xr:uid="{00000000-0006-0000-0200-000001000000}">
      <text>
        <r>
          <rPr>
            <sz val="9"/>
            <color rgb="FF000000"/>
            <rFont val="Tahoma"/>
            <family val="2"/>
          </rPr>
          <t>Type the address in a single line.</t>
        </r>
      </text>
    </comment>
    <comment ref="L98" authorId="1" shapeId="0" xr:uid="{C3F6B0D5-558A-4E9D-A8B0-D989983E8D86}">
      <text>
        <r>
          <rPr>
            <b/>
            <sz val="9"/>
            <color indexed="81"/>
            <rFont val="Tahoma"/>
            <family val="2"/>
          </rPr>
          <t>Mohan Ramalingam:</t>
        </r>
        <r>
          <rPr>
            <sz val="9"/>
            <color indexed="81"/>
            <rFont val="Tahoma"/>
            <family val="2"/>
          </rPr>
          <t xml:space="preserve">
Please select the OLD or NEW regime at HOME page</t>
        </r>
      </text>
    </comment>
  </commentList>
</comments>
</file>

<file path=xl/sharedStrings.xml><?xml version="1.0" encoding="utf-8"?>
<sst xmlns="http://schemas.openxmlformats.org/spreadsheetml/2006/main" count="936" uniqueCount="518">
  <si>
    <t>ASSESSMENT YEAR:</t>
  </si>
  <si>
    <t>Signature</t>
  </si>
  <si>
    <t xml:space="preserve">NAME: </t>
  </si>
  <si>
    <t>SECTION:</t>
  </si>
  <si>
    <t>DESIGNATION :</t>
  </si>
  <si>
    <t>FINANCIAL YEAR:</t>
  </si>
  <si>
    <t xml:space="preserve">Rate of tax </t>
  </si>
  <si>
    <t>Senior Citizen</t>
  </si>
  <si>
    <t>Nil</t>
  </si>
  <si>
    <t>RESIDENTIAL ADDRESS:</t>
  </si>
  <si>
    <t>Income Tax deducted at source/ to be deducted at source</t>
  </si>
  <si>
    <t>PAN NO:</t>
  </si>
  <si>
    <t>TAN NO:</t>
  </si>
  <si>
    <t>STATEMENT OF ANNUAL EMOLUMENTS OF</t>
  </si>
  <si>
    <t>Month</t>
  </si>
  <si>
    <t>DA%</t>
  </si>
  <si>
    <t>DA</t>
  </si>
  <si>
    <t>HRA</t>
  </si>
  <si>
    <t>TA</t>
  </si>
  <si>
    <t>Total</t>
  </si>
  <si>
    <t>TOTAL</t>
  </si>
  <si>
    <t>GPF</t>
  </si>
  <si>
    <t>Pension</t>
  </si>
  <si>
    <t>NAME</t>
  </si>
  <si>
    <t>GENDER</t>
  </si>
  <si>
    <t>DESIGNATION</t>
  </si>
  <si>
    <t>PAN NO.</t>
  </si>
  <si>
    <t>NO</t>
  </si>
  <si>
    <t xml:space="preserve">Age at the end of financial year </t>
  </si>
  <si>
    <t>Eligibility for Senior Citizen</t>
  </si>
  <si>
    <t>Taxable children education allowance</t>
  </si>
  <si>
    <t>Tution fees actually paid</t>
  </si>
  <si>
    <t>Others</t>
  </si>
  <si>
    <t>Rent paid</t>
  </si>
  <si>
    <t>HTL paid</t>
  </si>
  <si>
    <t>PLI/ NIC</t>
  </si>
  <si>
    <t>SALARY INCOME</t>
  </si>
  <si>
    <t>End date of financial year</t>
  </si>
  <si>
    <t xml:space="preserve">TA Applicability </t>
  </si>
  <si>
    <t>YES</t>
  </si>
  <si>
    <t>Hosteller/ Dayscholar</t>
  </si>
  <si>
    <t>Cell No</t>
  </si>
  <si>
    <t>Email ID</t>
  </si>
  <si>
    <t>Savings Bank  AC No.</t>
  </si>
  <si>
    <t>Cell No.</t>
  </si>
  <si>
    <t>Children Eduction Allowance (CEA) claimed and received from the Institute</t>
  </si>
  <si>
    <t>Number of school/ college going children for whom tution fee is paid</t>
  </si>
  <si>
    <t>No. of years CEA claimed</t>
  </si>
  <si>
    <t>Amount of CEA received</t>
  </si>
  <si>
    <t>% CEA received</t>
  </si>
  <si>
    <t>Taxable amount</t>
  </si>
  <si>
    <t>Tution fee paid for school/ college going children</t>
  </si>
  <si>
    <t>Aadhar No.</t>
  </si>
  <si>
    <t xml:space="preserve">Reimbursement of medical expenses, Pension received </t>
  </si>
  <si>
    <t>Cateogory of Receipts</t>
  </si>
  <si>
    <t>Amount received</t>
  </si>
  <si>
    <t>Reimbursement of medical expenses</t>
  </si>
  <si>
    <t>Total amount</t>
  </si>
  <si>
    <t>Amount Donated</t>
  </si>
  <si>
    <t>PAN of Donee</t>
  </si>
  <si>
    <t xml:space="preserve">Eligible amount </t>
  </si>
  <si>
    <t>Name of Donee</t>
  </si>
  <si>
    <t xml:space="preserve">Total tution fees paid </t>
  </si>
  <si>
    <t>:</t>
  </si>
  <si>
    <t>Donations given to Government / Other Organizations under section 80G</t>
  </si>
  <si>
    <t xml:space="preserve">Eligible % </t>
  </si>
  <si>
    <t>Own Pension amount</t>
  </si>
  <si>
    <t>LIC SS</t>
  </si>
  <si>
    <t>UTGIS/ GSLIS</t>
  </si>
  <si>
    <t>IT</t>
  </si>
  <si>
    <t>Salary arrears</t>
  </si>
  <si>
    <t>DA- Arrears 2</t>
  </si>
  <si>
    <t>DA- Arrears 1</t>
  </si>
  <si>
    <t xml:space="preserve">DEDUCTIONS/ SAVINGS/ RENT/ HTL/ IT </t>
  </si>
  <si>
    <t>GRAND TOTAL</t>
  </si>
  <si>
    <t xml:space="preserve">7th CPC Pay matrix table No. </t>
  </si>
  <si>
    <t xml:space="preserve">Number of school going children for whom CEA is claimed </t>
  </si>
  <si>
    <t>Name of the Institute / School/ Office with address</t>
  </si>
  <si>
    <t>ARIGNAR ANNA GOVERNMENT ARTS AND SCIENCE COLLEGE, KARAIKAL</t>
  </si>
  <si>
    <t>GOVERNMENR BRANCH PRESS, KOTTUCHERRY</t>
  </si>
  <si>
    <t>GOVERNMENT AUTOMOBILE WORKSHOP</t>
  </si>
  <si>
    <t>GOVERNMENT GIRLS HIGHER SECONDARY SCHOOL, THIRUNALLAR</t>
  </si>
  <si>
    <t>GOVERNMENT HIGHER SECONDARY SCHOOL, AMBAGRATHUR</t>
  </si>
  <si>
    <t>GOVERNMENT HIGHER SECONDARY SCHOOL, NERAVY</t>
  </si>
  <si>
    <t>GOVERNMENT HIGHER SECONDARY SCHOOL, T.R.PATTINAM</t>
  </si>
  <si>
    <t>GOVERNMENT HIGHER SECONDARY SCHOOL, THIRUNALLAR, THENOR</t>
  </si>
  <si>
    <t>JAWAHARLAL NEHRU GOVERNMENT HIGHER SCONDARY SCHOOL, NEDUNAGDU</t>
  </si>
  <si>
    <t>OFFICE OF THE DEPARTMENT OF REVENUE-LEGAL METROLOGY, KARAIKAL</t>
  </si>
  <si>
    <t>OFFICE OF THE DEPARTMENT OF REVENUE-REGISTRATION OFFICE, KARAIKAKL</t>
  </si>
  <si>
    <t>OFFICE OF THE DEPARTMENT OF REVENUE-REGISTRATION OFFICE, NERAVY T.R.PATTINAM.</t>
  </si>
  <si>
    <t>OFFICE OF THE DEPARTMENT OF REVENUE-REGISTRATION OFFICE, THIRUNALLAR</t>
  </si>
  <si>
    <t>OFFICE OF THE DEPARTMENT OF REVENUE-TALUK OFFICE, KARAIKAL</t>
  </si>
  <si>
    <t>OFFICE OF THE DEPARTMENT OF REVENUE-TALUK OFFICE, THIRUNALLAR</t>
  </si>
  <si>
    <t>VOC GOVERNMENT HIGHER SECONDARY SCHOOL, KOTTUCHERRY</t>
  </si>
  <si>
    <t>OFFICE OF THE COLLECTORATE, KARAIKAL</t>
  </si>
  <si>
    <t>ANNAI THERASA GOVERNMENT GIRLS HIGHER SECONDARY SCHOOL, KARAIKAL</t>
  </si>
  <si>
    <t>AVVAIYAR GOVERNMENT COLLEGE FOR WOMEN, KARAIKAL</t>
  </si>
  <si>
    <t>OFFICE OF THE ACCOUNTS and TREASURIES, KARAIKAL</t>
  </si>
  <si>
    <t>OFFICE OF THE DEPARTMENT OF ADI DRAVIDAR WELFARE, KARAIKAL</t>
  </si>
  <si>
    <t>OFFICE OF THE DEPARTMENT OF AGRICULTURE, KARAIKAL</t>
  </si>
  <si>
    <t>OFFICE OF THE DEPARTMENT OF ANIMAL HUSBANDRY, KARAIKAL</t>
  </si>
  <si>
    <t>OFFICE OF THE DEPARTMENT OF ART and CULTURE, KARAIKAL</t>
  </si>
  <si>
    <t>OFFICE OF THE DEPARTMENT OF BLOCK DEVELOPMENT OFFICE, KARAIKAL</t>
  </si>
  <si>
    <t>OFFICE OF THE DEPARTMENT OF CHIEF EDUCATIONAL OFFICE, KARAIKAL</t>
  </si>
  <si>
    <t>OFFICE OF THE DEPARTMENT OF CIVIL SUPPLIES AND CONSUMER AFFAIRS, KARAIKAL</t>
  </si>
  <si>
    <t>OFFICE OF THE DEPARTMENT OF COMMERCIAL TAX, KARAIKAL</t>
  </si>
  <si>
    <t>OFFICE OF THE DEPARTMENT OF CO-OPERATIVES, KARAIKAL</t>
  </si>
  <si>
    <t>OFFICE OF THE DEPARTMENT OF DISTRICT INDUSTRIES CENTRE, KARAIKAL</t>
  </si>
  <si>
    <t>OFFICE OF THE DEPARTMENT OF ECONOMICS &amp; STATISTICS, KARAIKAL</t>
  </si>
  <si>
    <t>OFFICE OF THE DEPARTMENT OF ELECTRICITY, KARAIKAL</t>
  </si>
  <si>
    <t>OFFICE OF THE DEPARTMENT OF FIRE SERVICE, KARAIKAL</t>
  </si>
  <si>
    <t>OFFICE OF THE DEPARTMENT OF FISHERIES AND FISHERMEN WELFARE, KARAIKAL</t>
  </si>
  <si>
    <t>OFFICE OF THE DEPARTMENT OF HEALTH-DEPUTY DIRECTOR OF IMMUNIZATION, KARAIKAL</t>
  </si>
  <si>
    <t>OFFICE OF THE DEPARTMENT OF HEALTH-GENERAL HOSPITAL, KARAIKAL</t>
  </si>
  <si>
    <t>OFFICE OF THE DEPARTMENT OF PLANNING AND RESEARCH, KARAIKAL</t>
  </si>
  <si>
    <t>OFFICE OF THE DEPARTMENT OF PWD (BUILDINGS AND ROADS), KARAIKAL</t>
  </si>
  <si>
    <t>OFFICE OF THE DEPARTMENT OF PWD (IRRIGATION AND PUBLIC HEALTH DIVISION), KARAIKAL</t>
  </si>
  <si>
    <t>OFFICE OF THE DEPARTMENT OF PWD CIRCLE-III, KARAIKAL</t>
  </si>
  <si>
    <t>OFFICE OF THE DEPARTMENT OF REVENUE-DEPUTY COLLECTOR, KARAIKAL</t>
  </si>
  <si>
    <t>OFFICE OF THE DEPARTMENT OF REVENUE-SURVEY AND LAND RECORDS, KARAIKAL</t>
  </si>
  <si>
    <t>OFFICE OF THE DEPARTMENT OF SCIENCE AND TECHNOLOGY, KARAIKAL</t>
  </si>
  <si>
    <t>OFFICE OF THE DEPARTMENT OF SOCIAL WELFARE, KARAIKAL</t>
  </si>
  <si>
    <t>OFFICE OF THE DEPARTMENT OF TOURISM, KARAIKAL</t>
  </si>
  <si>
    <t>OFFICE OF THE DEPARTMENT OF TOWN AND COUNTRY PLANNING, KARAIKAL</t>
  </si>
  <si>
    <t>OFFICE OF THE DEPARTMENT OF TRANSPORT, KARAIKAL</t>
  </si>
  <si>
    <t>OFFICE OF THE DEPARTMENT OF WOMEN AND CHILD DEVELOPMENT, KARAIKAL</t>
  </si>
  <si>
    <t>PERUNTHALAIVAR KAMARAJAR INSTITUTE OF ENGINEERING AND TECHNOLOGY, KARAIKAL</t>
  </si>
  <si>
    <t>THANTHAI PERIYAR GOVERNMENT HIGHER SECONDARY SCHOOL, KARAIKAL</t>
  </si>
  <si>
    <t>THIRUNALLAR DEVASTHANAM, THIRUNALLAR</t>
  </si>
  <si>
    <t>Men/ Women</t>
  </si>
  <si>
    <t>Old tax rates</t>
  </si>
  <si>
    <t>New tax rates</t>
  </si>
  <si>
    <t>&gt; 15.0</t>
  </si>
  <si>
    <t>10000 + 20%</t>
  </si>
  <si>
    <t>12500 + 20%</t>
  </si>
  <si>
    <t>112500 + 30%</t>
  </si>
  <si>
    <t>110000 + 30%</t>
  </si>
  <si>
    <t>NPA</t>
  </si>
  <si>
    <t>Financial Year</t>
  </si>
  <si>
    <t>-</t>
  </si>
  <si>
    <t>Assessment Year</t>
  </si>
  <si>
    <t>School going children</t>
  </si>
  <si>
    <t>School/ college  going children</t>
  </si>
  <si>
    <t>Are you eligible for Non Practicing Allowance?</t>
  </si>
  <si>
    <t>Are you eligible for annual increment?</t>
  </si>
  <si>
    <t>Select your increment month (If not eligible, select NA)</t>
  </si>
  <si>
    <t>2025</t>
  </si>
  <si>
    <t>(a)</t>
  </si>
  <si>
    <t xml:space="preserve">Amount </t>
  </si>
  <si>
    <t>Particulars</t>
  </si>
  <si>
    <t>(b)</t>
  </si>
  <si>
    <t>Value of perquisites under section 17(2). [As per Form No. 12BA, wherever applicable]</t>
  </si>
  <si>
    <t>Profits in lieu of salary under section 17(3). [As per Form No. 12BA, wherever applicable]</t>
  </si>
  <si>
    <t>(c)</t>
  </si>
  <si>
    <t>(d)</t>
  </si>
  <si>
    <t>Reported total amount of salary received from other employer(s)</t>
  </si>
  <si>
    <t xml:space="preserve">(e) </t>
  </si>
  <si>
    <t>TOTAL SALARY (d + e)</t>
  </si>
  <si>
    <t>Travel concession or assistance under section 10 (5)</t>
  </si>
  <si>
    <t>Death cum Retirement gratuity under section 10(10)</t>
  </si>
  <si>
    <t>Commuted value of pension under section 10 (10A)</t>
  </si>
  <si>
    <t>Cash equivalent of leave salary encashment under section 10(10AA)</t>
  </si>
  <si>
    <t>(e)</t>
  </si>
  <si>
    <t>If HRA to the extent exempt u/s 10, employee should produce copies of rent receipts. [Please enclose working sheet as required along with rent receipt]</t>
  </si>
  <si>
    <t>(i)</t>
  </si>
  <si>
    <t>Actual amount of HRA received</t>
  </si>
  <si>
    <t>(ii)</t>
  </si>
  <si>
    <t>Rent paid in excess of 10% of salary</t>
  </si>
  <si>
    <t>(iii)</t>
  </si>
  <si>
    <t>40% of salary</t>
  </si>
  <si>
    <t>Whichever is less</t>
  </si>
  <si>
    <t>(f)</t>
  </si>
  <si>
    <t>Amount of any other exemption under section 10 - FTA</t>
  </si>
  <si>
    <t>(g)</t>
  </si>
  <si>
    <t>Amount of any other exemption under section 10 - WA/ UA</t>
  </si>
  <si>
    <t>(h)</t>
  </si>
  <si>
    <t>Amount of any other exemption under section 10 - Others</t>
  </si>
  <si>
    <t>Total amount of exemption claimed under section 10 [2(a)+(b)+(c)+(d)+€+(f)+(g)+(h)]</t>
  </si>
  <si>
    <t>Total amount of salary received from current employer [1(d) - 2(i)]</t>
  </si>
  <si>
    <t xml:space="preserve">Standard deduction under section 16 (i)(a) </t>
  </si>
  <si>
    <t>Entertainment allowance under section 16(ii)</t>
  </si>
  <si>
    <t>Tax on employment under section (iii)</t>
  </si>
  <si>
    <t>Total amount of deductions under section 16 [4(a)+(b)+(c)]</t>
  </si>
  <si>
    <t>Income chargeable under the head "Salaries" [(3)+(1e)-(5)]</t>
  </si>
  <si>
    <t>ADD: Any other income reported by the employee under section 192(2B)</t>
  </si>
  <si>
    <t>Gross Amount</t>
  </si>
  <si>
    <t>Qualifying amount</t>
  </si>
  <si>
    <t>LESS - Interest on Housing loan (Self occupied house only - Maximum Rs. 2.0 lakhs)</t>
  </si>
  <si>
    <t>LESS: Deductions under Chapter VI- A</t>
  </si>
  <si>
    <t>G.P.F. Subscriptions</t>
  </si>
  <si>
    <t>Deduction in respect of Life insurance premia, contributions to provident funds etc. under section 80 (c)</t>
  </si>
  <si>
    <t>U.T.G.E.G.I.S</t>
  </si>
  <si>
    <t>Group savings Linked Insurance Scheme (GSLIS - LIC)</t>
  </si>
  <si>
    <t>(iv)</t>
  </si>
  <si>
    <t>Group personal Accident Insurance Cover Scheme (GPAICS - NIC)</t>
  </si>
  <si>
    <t>(v)</t>
  </si>
  <si>
    <t>Tuition fees paid (for 2 childrens only)</t>
  </si>
  <si>
    <t>(vi)</t>
  </si>
  <si>
    <t>Life Insurance Premium (LIC)</t>
  </si>
  <si>
    <t>(vii)</t>
  </si>
  <si>
    <t>Subscription to Mutual fund</t>
  </si>
  <si>
    <t>(viii)</t>
  </si>
  <si>
    <t>Housing loan repayment to authorized instituition (Principle)</t>
  </si>
  <si>
    <t>(ix)</t>
  </si>
  <si>
    <t>Investment in NSS/ PPF/ NSC/ SSA</t>
  </si>
  <si>
    <t>(x)</t>
  </si>
  <si>
    <t>Fixed Deposit (for a minimum period of 5 years in scheduled bank or post office 5 year term deposits (80c, 80ccc, 80ccd)</t>
  </si>
  <si>
    <t>(xi)</t>
  </si>
  <si>
    <t>LESS - Less deductions under section 16</t>
  </si>
  <si>
    <t>Contribution to certain specified pension funds of LIC/ other insurer by an individual (subject to certain conditions) upto Rs. 1.0 lakhs (Subject to overall limit of Rs. 1.5 lakhs under section 80c, 80ccc, 80ccd)</t>
  </si>
  <si>
    <t>Total (i - xi)</t>
  </si>
  <si>
    <t>Deduction in respect of contribution by taxpayer to pension scheme under section 80ccd(1) subject to a maximum of 10% of salary under section 80ccd(1) NPS</t>
  </si>
  <si>
    <t xml:space="preserve">Total deductions under section 80c, 80ccc and 80ccd(1) [(a)+(b)+(c)]. Maximum amount eligible for savings is Rs. 1.5 lakhs. Evidence should be produced for all deductions. </t>
  </si>
  <si>
    <t>Deductions in respect of amount paid / deposited to notified pension scheme under section 80ccd(1b)</t>
  </si>
  <si>
    <t>Deductions in respect of contribution by employer to pension scheme under section 80ccd(2)</t>
  </si>
  <si>
    <t>Deduction in respect of health insurance premia under section 80d. [Any premium paid for medical insurance for assessee or any member of the family and amount paid upto Rs. 25000 (self) and Rs. 30000 (Sr. citizen). Overall Rs. 50000]</t>
  </si>
  <si>
    <t>Total deductions in respect of donations to certain funds, charitable institutions, Flag day, PM/CM relief funds etc. under section 80g. Evidence should be produced for deductions.</t>
  </si>
  <si>
    <t>(j)</t>
  </si>
  <si>
    <t>Deduction in respect of interest on deposits in savings account under section 80tta [Exemption limit is Rs. 10000]</t>
  </si>
  <si>
    <t>Deduction in respect of interest on loan taken for higher education under section 80e. [Interest only paid on loan taken for education for self, spouse, children. Evidence should be produced for deduction]</t>
  </si>
  <si>
    <t>(k)</t>
  </si>
  <si>
    <t>Amount deductable under any other provisions of chapter VI-A</t>
  </si>
  <si>
    <t>Physically handicapped (Self) upto Rs. 75000 and Rs. 1,25,000 if he/she is a person with severe disability (Section 80u). [Evidence should be produced]</t>
  </si>
  <si>
    <t>Interest payable on loan taken upto Rs. 35 lakhs by an individual taxpayer from any financial institution sanctioned during the fiancial year 2016-17 for the purpose of acquisition of a residential hous property whose value does not exceed Rs. 50 lakhs. Deduction of upto Rs. 50000 towards interest on loan</t>
  </si>
  <si>
    <t>Section 80(ttb). SB/FD/RD interest for senior citizen exemption limit Rs. 50000</t>
  </si>
  <si>
    <t>80(ddb) - Expenses actually paid by resident individual and HUF for medical treatment of specified diseases. Upto Rs. 40,000 and Rs. 100000 for Senior citizen.</t>
  </si>
  <si>
    <t>Section 80dd - Any expenditure incurred for the medical treatment including nursing, training, rehabilitation of a dependent being a person with disability. [Rs. 75000 or Rs. 125000 for severe disability]</t>
  </si>
  <si>
    <t>(l)</t>
  </si>
  <si>
    <t>Total of amount deductable under any other provisions of Chapter VI-A. [k(a)+k(b)+k(c)+k(d)+k(e)]</t>
  </si>
  <si>
    <t>(m)</t>
  </si>
  <si>
    <t>Total deductions [10(d+e+f+g+h+i+j+l)</t>
  </si>
  <si>
    <t>Total Taxable Income (Rounded off to nearest ten rupees)</t>
  </si>
  <si>
    <t>Income tax thereon (OLD REGIME)</t>
  </si>
  <si>
    <t>Upto Rs. 2.5</t>
  </si>
  <si>
    <t>5.0 to 10.0</t>
  </si>
  <si>
    <t>&gt; 10.0</t>
  </si>
  <si>
    <t>Income tax thereon (NEW REGIME)</t>
  </si>
  <si>
    <t>I hereby authorize the Office of the DEAN,  PAJANCOA &amp; RI, Karaikal to deduct from Salary appropriate balance amount of  tax from my monthly salary as detailed below:</t>
  </si>
  <si>
    <t>NEW REGIME / OLD REGIME TAX</t>
  </si>
  <si>
    <t>Date:</t>
  </si>
  <si>
    <t>Signature of Assesse</t>
  </si>
  <si>
    <t>CEA/ EL encashment</t>
  </si>
  <si>
    <t>Bonus/ Hono./ ED</t>
  </si>
  <si>
    <t>Total (a+b+c)</t>
  </si>
  <si>
    <t>Rs. 2.5 to 3.0</t>
  </si>
  <si>
    <t>Rs. 3.0  to 5.0</t>
  </si>
  <si>
    <t>EL Encashment received during the year</t>
  </si>
  <si>
    <t>EL Encashment received</t>
  </si>
  <si>
    <t>Total EL encashment</t>
  </si>
  <si>
    <t>Gross Total income for Old tax Regime (6+7-8)</t>
  </si>
  <si>
    <t>Gross Total income for New tax Regime (6+7)</t>
  </si>
  <si>
    <t>Pay / DA Arrears</t>
  </si>
  <si>
    <t>Honorarium/ Bonus/ Election duty</t>
  </si>
  <si>
    <t>2026</t>
  </si>
  <si>
    <t>Pay on March</t>
  </si>
  <si>
    <t>Are you a contract teacher?</t>
  </si>
  <si>
    <t>Band Pay/ Consol. Pay</t>
  </si>
  <si>
    <t>20000 + 10%</t>
  </si>
  <si>
    <t>50000 + 15%</t>
  </si>
  <si>
    <t>80000 + 20%</t>
  </si>
  <si>
    <t>140000 + 30%</t>
  </si>
  <si>
    <t>Add Cess @ 4%</t>
  </si>
  <si>
    <t>Add Surcharge @ 10% if the income bracket is 50 - 100 lakhs</t>
  </si>
  <si>
    <t>Tax payable after 87-A rebate [Minimum of 12(a) and 12(b)]</t>
  </si>
  <si>
    <t>Total Tax liability Computed</t>
  </si>
  <si>
    <t>Less: Relief under section 89 (1) [Attach Form 10(E)]</t>
  </si>
  <si>
    <t>Balance to be deducted [19-20]</t>
  </si>
  <si>
    <t>HELP ON RELIEF CALCULATOR</t>
  </si>
  <si>
    <t>The relief Calculator is mainly designed to reduce the burden of additional tax due to the receipt of PAY REVISION ARRERS. Pay revision arrear  from the year 2015-16 onwards  are  added to the calculation to help those who have received any  type of  arrears.This will help to calculate Relief u/s 89(1) and to print 10 E and related forms, which is to be attached with the income tax statements</t>
  </si>
  <si>
    <t>This relief will be benefitted those employees, whose total income is not reached at taxable limit in the previous years to and has to pay tax in this year.Those, who are already paid taxes in the previous years, will not be much benefitted, in normal cases.</t>
  </si>
  <si>
    <t>The main page of the Relief Calculator has divided in to 5 parts from PART-A to PART E.
You have to enter data only in Part A and Part B. The calculations in the other parts are automated.</t>
  </si>
  <si>
    <t>You can fill data only in yellow colured cells.</t>
  </si>
  <si>
    <t>While entering data in Part A, don't  forget to select the appropriate category. Otherwise the calculations will not take effect</t>
  </si>
  <si>
    <t xml:space="preserve">In Part B, there are three rows. 
In first row, you should enter the Total Taxable Income of the relevent years. Total Income means excluding arrears ,including all other income and after all the deduction like section 80C,80CC,80D,80G ....80U etc. The figures of the Total Income of the previous years should be matched with the copies of Income Tax Statments of these years. If you put a diifferent figure, It will not be accepted by the department.
</t>
  </si>
  <si>
    <t>Only fill the details of years to which arrears are applicable. Leave the remaining columns blank. Eg. If you revised the salary with effect from July 2015, you may be received Pay Revision Arrear for the year 2015-16, 2016-17 and 2017-18. Here you should fill only these three columns and leave the other colums unfilled.</t>
  </si>
  <si>
    <t xml:space="preserve">In the second row, you should split the total arrear salary received to concerned years and insert in the appropriate colums (No matter, whether the arrear is merged to PF or received in Cash). This can be done with help of the copy of Due-Drawn Statements of Arrear Salary. 
The total of arrear salary may be automatically shown on the third row. </t>
  </si>
  <si>
    <t xml:space="preserve">Then the relief u/s 89(1) is shown under Part -E. If you have any relief please click on the button given below the Part-E and print Form 10 E, Annexure-1, and Table-A. </t>
  </si>
  <si>
    <t xml:space="preserve">Then insert the amount of Relief u/s 89(1) to the relevent columns of your Income Tax Statements and deduct it from Total Tax calculated on the income including arrears.
</t>
  </si>
  <si>
    <r>
      <t xml:space="preserve">RELIEF CALCULATOR
</t>
    </r>
    <r>
      <rPr>
        <sz val="14"/>
        <color indexed="11"/>
        <rFont val="Arial"/>
        <family val="2"/>
      </rPr>
      <t>Useful to save tax on Pay Revision Arrear and Other Arrears</t>
    </r>
  </si>
  <si>
    <t>Developed by Dr. R. MOHAN, Professor and Head (Agronomy), PAJANCOA&amp;RI, Karaikal - 3</t>
  </si>
  <si>
    <t>PART - A</t>
  </si>
  <si>
    <t>Designation</t>
  </si>
  <si>
    <t>Office</t>
  </si>
  <si>
    <t>PAN</t>
  </si>
  <si>
    <r>
      <t>Select Category</t>
    </r>
    <r>
      <rPr>
        <b/>
        <sz val="10"/>
        <color indexed="10"/>
        <rFont val="Arial"/>
        <family val="2"/>
      </rPr>
      <t xml:space="preserve"> (Male or Female or Senior citizen)</t>
    </r>
  </si>
  <si>
    <t>Male</t>
  </si>
  <si>
    <t>PART - B</t>
  </si>
  <si>
    <t>FINANCIAL YEAR</t>
  </si>
  <si>
    <t>2024-25</t>
  </si>
  <si>
    <t>2023-24</t>
  </si>
  <si>
    <t>2022-23</t>
  </si>
  <si>
    <t>2021-22</t>
  </si>
  <si>
    <t>2020-21</t>
  </si>
  <si>
    <t>2019-20</t>
  </si>
  <si>
    <t>2018-19</t>
  </si>
  <si>
    <t>2017-18</t>
  </si>
  <si>
    <t>2016-17</t>
  </si>
  <si>
    <t>2015-16</t>
  </si>
  <si>
    <t>2014-15</t>
  </si>
  <si>
    <t>2013-14</t>
  </si>
  <si>
    <t>2012-13</t>
  </si>
  <si>
    <t>2011-12</t>
  </si>
  <si>
    <t>2010-11</t>
  </si>
  <si>
    <t>2009-10</t>
  </si>
  <si>
    <t>Total taxable Income as per Income tax returns excluding arrears</t>
  </si>
  <si>
    <t>Total Arrears Received</t>
  </si>
  <si>
    <t>The calculations in the remaining tables are automated. Kindly select the tax regime after 2020-21 below</t>
  </si>
  <si>
    <t>PART - C</t>
  </si>
  <si>
    <t>TAX CALCULATED ON RECEIPT BASIS</t>
  </si>
  <si>
    <t>Select Tax regime</t>
  </si>
  <si>
    <t>New tax</t>
  </si>
  <si>
    <t>Total Income excluding arrears</t>
  </si>
  <si>
    <t>Add: Arrears of salary</t>
  </si>
  <si>
    <t>Total Income</t>
  </si>
  <si>
    <t>Tax on total income</t>
  </si>
  <si>
    <t>Add - Surcharge</t>
  </si>
  <si>
    <t>Tax with Surcharge</t>
  </si>
  <si>
    <t>Add - Education cess</t>
  </si>
  <si>
    <t>Total tax</t>
  </si>
  <si>
    <t>TOTAL TAX (A)</t>
  </si>
  <si>
    <t>PART - D</t>
  </si>
  <si>
    <t>TAX CALCULATED ON ACCRUAL BASIS</t>
  </si>
  <si>
    <t>Financial year</t>
  </si>
  <si>
    <t>TOTAL TAX (B)</t>
  </si>
  <si>
    <t>PART - E</t>
  </si>
  <si>
    <r>
      <rPr>
        <b/>
        <sz val="14"/>
        <color indexed="17"/>
        <rFont val="Arial"/>
        <family val="2"/>
      </rPr>
      <t>Relief U/S 89(1)               ie Total Tax (A) - Total Tax (B)</t>
    </r>
    <r>
      <rPr>
        <b/>
        <sz val="11"/>
        <color indexed="17"/>
        <rFont val="Arial"/>
        <family val="2"/>
      </rPr>
      <t xml:space="preserve">
</t>
    </r>
    <r>
      <rPr>
        <b/>
        <sz val="11"/>
        <rFont val="Arial"/>
        <family val="2"/>
      </rPr>
      <t xml:space="preserve">
</t>
    </r>
    <r>
      <rPr>
        <sz val="11"/>
        <rFont val="Arial"/>
        <family val="2"/>
      </rPr>
      <t xml:space="preserve">(If you are using </t>
    </r>
    <r>
      <rPr>
        <b/>
        <sz val="11"/>
        <color indexed="10"/>
        <rFont val="Arial"/>
        <family val="2"/>
      </rPr>
      <t>EASY TAX</t>
    </r>
    <r>
      <rPr>
        <sz val="11"/>
        <rFont val="Arial"/>
        <family val="2"/>
      </rPr>
      <t xml:space="preserve">, please insert this amount to the </t>
    </r>
    <r>
      <rPr>
        <b/>
        <sz val="11"/>
        <color indexed="10"/>
        <rFont val="Arial"/>
        <family val="2"/>
      </rPr>
      <t>23</t>
    </r>
    <r>
      <rPr>
        <sz val="11"/>
        <rFont val="Arial"/>
        <family val="2"/>
      </rPr>
      <t>rd item under '</t>
    </r>
    <r>
      <rPr>
        <b/>
        <sz val="11"/>
        <color indexed="10"/>
        <rFont val="Arial"/>
        <family val="2"/>
      </rPr>
      <t>Deductions</t>
    </r>
    <r>
      <rPr>
        <sz val="11"/>
        <rFont val="Arial"/>
        <family val="2"/>
      </rPr>
      <t>' page)</t>
    </r>
  </si>
  <si>
    <t>Developed By : Dr. R. MOHAN, Professor and Head (Agronomy), PAJANCOA&amp;RI, Karaikal - 3</t>
  </si>
  <si>
    <t>Please load three A4 paper in Printer 
and print this sheet</t>
  </si>
  <si>
    <t>FORM NO.10 E</t>
  </si>
  <si>
    <t>[See rule 21AA]</t>
  </si>
  <si>
    <t>Form for furnishing particulars of income under section 192(2A) for the year ending 31 st March, 2012 for claiming relief under section 89(1) by a Government servant or an employee in a Company, Co-operative society, Local authority ,University, Institution, Association or Body</t>
  </si>
  <si>
    <t>Name and address of the employee</t>
  </si>
  <si>
    <t>CUSAT, CUCEK, PULINCUNNOO - 688504</t>
  </si>
  <si>
    <t>Permanent account number</t>
  </si>
  <si>
    <t>Third</t>
  </si>
  <si>
    <t>March</t>
  </si>
  <si>
    <t>Residential status</t>
  </si>
  <si>
    <t>RESIDENT AND ORDINARILY RESIDENT</t>
  </si>
  <si>
    <t>Fourth</t>
  </si>
  <si>
    <t>April</t>
  </si>
  <si>
    <t>Particulars of income referred to in rule 21A of the Income-tax Rules, 1962,during the previous year relevant to assessment year 2022-23 (Rs.)</t>
  </si>
  <si>
    <t>Fifth</t>
  </si>
  <si>
    <t>May</t>
  </si>
  <si>
    <t>1 (a)</t>
  </si>
  <si>
    <t>Salary received in arrears or in advance in accordance with the provisions of sub-rule (2) of rule 21A.</t>
  </si>
  <si>
    <t>Sixth</t>
  </si>
  <si>
    <t>June</t>
  </si>
  <si>
    <t>Payment in the nature of gratuity in respect of past services, extending over a period of not less than 5 years in accordance with the provisions of sub-rule (3) of rule 21A.</t>
  </si>
  <si>
    <t>…Nil…</t>
  </si>
  <si>
    <t>Seventh</t>
  </si>
  <si>
    <t>July</t>
  </si>
  <si>
    <t>Payment in the nature of compensation from the employer or former employer at or in connection with termination of employment after continuous service of not less than 3 years or where the unexpired portion of term of employment is also not less than 3 ye</t>
  </si>
  <si>
    <t>Eighth</t>
  </si>
  <si>
    <t>August</t>
  </si>
  <si>
    <t>Payment in commutation of pension in accordance with the provisions of sub-rule (5) of rule 21A</t>
  </si>
  <si>
    <t>Ninth</t>
  </si>
  <si>
    <t>September</t>
  </si>
  <si>
    <t>Detailed particulars of payments referred to above may be given in Annexure I, II, IIA, III, or IV as the case may be.</t>
  </si>
  <si>
    <t>Eleventh</t>
  </si>
  <si>
    <t>November</t>
  </si>
  <si>
    <t>Twelfth</t>
  </si>
  <si>
    <t xml:space="preserve"> Signature of the employee</t>
  </si>
  <si>
    <t>Thriteenth</t>
  </si>
  <si>
    <t>December</t>
  </si>
  <si>
    <t>Verification</t>
  </si>
  <si>
    <t>Fourteenth</t>
  </si>
  <si>
    <t>Fifteenth</t>
  </si>
  <si>
    <t>Place: …………………….</t>
  </si>
  <si>
    <t>………………………………………</t>
  </si>
  <si>
    <t>Twentieth</t>
  </si>
  <si>
    <t>Date:…………..…………</t>
  </si>
  <si>
    <t xml:space="preserve">  Signature of the employee</t>
  </si>
  <si>
    <t>Twenty first</t>
  </si>
  <si>
    <t>Twenty second</t>
  </si>
  <si>
    <t>Twenty third</t>
  </si>
  <si>
    <t>Twenty fourth</t>
  </si>
  <si>
    <t>ANNEXURE-I</t>
  </si>
  <si>
    <t>[See item 2 of Form No.10E]</t>
  </si>
  <si>
    <t>Arrears or advance salary</t>
  </si>
  <si>
    <t>Twenty eighth</t>
  </si>
  <si>
    <t>Sl.No</t>
  </si>
  <si>
    <t>PARTICULARS</t>
  </si>
  <si>
    <t>Amount (Rs)</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</si>
  <si>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</si>
  <si>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</si>
  <si>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</si>
  <si>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</si>
  <si>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</si>
  <si>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</si>
  <si>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</si>
  <si>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Relief under Section 89(1) [Indicate difference between the amounts mentioned against item 6 and item 7]</t>
  </si>
  <si>
    <t>Signature:</t>
  </si>
  <si>
    <t>Name:</t>
  </si>
  <si>
    <t>TABLE "A"</t>
  </si>
  <si>
    <t>[See item 7 of Annexure 1]</t>
  </si>
  <si>
    <t>Previous year</t>
  </si>
  <si>
    <t>Total income of the relevent previous year(Rs.)</t>
  </si>
  <si>
    <t>Salary received in arrears or advance relating to the relevent previous year as mentioned in column (1) (Rs.)</t>
  </si>
  <si>
    <t>Total income (as increased by salary received in arrears or advance) of the relevent previous year mentioned in column (1) (Rs.)</t>
  </si>
  <si>
    <t>Tax on total income [as per column (2)-After Rebate and including Edn Cess and Surcharge] (Rs.)</t>
  </si>
  <si>
    <t>Tax on total income[as per column (4) After Rebate and including Edn Cess and Surcharge] (Rs.)</t>
  </si>
  <si>
    <t>Difference in tax [Amount under column (6) minus amount under column  (5)] (Rs.)</t>
  </si>
  <si>
    <t>(1)</t>
  </si>
  <si>
    <t>(2)</t>
  </si>
  <si>
    <t>(3)</t>
  </si>
  <si>
    <t>(4)</t>
  </si>
  <si>
    <t>(5)</t>
  </si>
  <si>
    <t>(6)</t>
  </si>
  <si>
    <t>(7)</t>
  </si>
  <si>
    <t>Place: ...................................</t>
  </si>
  <si>
    <t>Designation:</t>
  </si>
  <si>
    <t>Date : ...................................</t>
  </si>
  <si>
    <t>Dept:</t>
  </si>
  <si>
    <t>st</t>
  </si>
  <si>
    <t>January</t>
  </si>
  <si>
    <t>nd</t>
  </si>
  <si>
    <t>February</t>
  </si>
  <si>
    <t>female</t>
  </si>
  <si>
    <t>rd</t>
  </si>
  <si>
    <t>th</t>
  </si>
  <si>
    <t>October</t>
  </si>
  <si>
    <t xml:space="preserve">PREVIOUS INCOME TAX RATES </t>
  </si>
  <si>
    <t>Year</t>
  </si>
  <si>
    <t>Female</t>
  </si>
  <si>
    <t>Seniors</t>
  </si>
  <si>
    <t>Surcharge/Cess</t>
  </si>
  <si>
    <t>Upto Rs. 2,50,000</t>
  </si>
  <si>
    <t>Education Cess 3%</t>
  </si>
  <si>
    <t>Rs. 2,50,001 to Rs.  3,00,000</t>
  </si>
  <si>
    <t xml:space="preserve">Rs. 3,00,001 to Rs. 5,00,000 </t>
  </si>
  <si>
    <t>Rs. 5,00,001 to Rs. 10,00,000</t>
  </si>
  <si>
    <t xml:space="preserve"> 25,000 + 20% </t>
  </si>
  <si>
    <t>25,000 + 20%</t>
  </si>
  <si>
    <t xml:space="preserve"> 20,000 + 20%</t>
  </si>
  <si>
    <t>Above 10,00,001</t>
  </si>
  <si>
    <t>1,25,000 + 30%</t>
  </si>
  <si>
    <t xml:space="preserve">1,25,000 + 30% </t>
  </si>
  <si>
    <t>1,20,000 + 30%</t>
  </si>
  <si>
    <t xml:space="preserve"> 12,500 + 20% </t>
  </si>
  <si>
    <t>10,000 + 20%</t>
  </si>
  <si>
    <t>1,12,500 + 30%</t>
  </si>
  <si>
    <t>1,10,000 + 30%</t>
  </si>
  <si>
    <t>Education cess 4%</t>
  </si>
  <si>
    <t>Rs. 2,50,001 to Rs.  5,00,000</t>
  </si>
  <si>
    <t xml:space="preserve">Rs. 5,00,001 to Rs. 10,00,000 </t>
  </si>
  <si>
    <t>12,500+20%</t>
  </si>
  <si>
    <t>10,000+ 20%</t>
  </si>
  <si>
    <t>Upto Rs. 2.5 or 3.0</t>
  </si>
  <si>
    <t>Rs. 2.5 or 3.0 to 5.0</t>
  </si>
  <si>
    <t>5.0 to 7.5</t>
  </si>
  <si>
    <t>12500+10%</t>
  </si>
  <si>
    <t>10000 + 10%</t>
  </si>
  <si>
    <t>7.5 to 10.0</t>
  </si>
  <si>
    <t>37500 + 15%</t>
  </si>
  <si>
    <t>35000 + 15%</t>
  </si>
  <si>
    <t>10.0 to 12.5</t>
  </si>
  <si>
    <t>75000 + 20%</t>
  </si>
  <si>
    <t>72500 + 20%</t>
  </si>
  <si>
    <t>12.5 to 15.0</t>
  </si>
  <si>
    <t>125000 + 25%</t>
  </si>
  <si>
    <t>122500 + 25%</t>
  </si>
  <si>
    <t>187500 + 30%</t>
  </si>
  <si>
    <t>185000 + 30%</t>
  </si>
  <si>
    <t>PAJANCOA&amp;RI, Karaikal</t>
  </si>
  <si>
    <t>15000 + 10%</t>
  </si>
  <si>
    <t>45000 + 15%</t>
  </si>
  <si>
    <t>90000 + 20%</t>
  </si>
  <si>
    <t>150000 + 30%</t>
  </si>
  <si>
    <t>Rs. 2.5 to 3.0 or 3.0 to 6.0</t>
  </si>
  <si>
    <t>3.0 to 5.0 or 6.0 to 9.0</t>
  </si>
  <si>
    <t>5.0 to 10.0 or 9.0 to 12</t>
  </si>
  <si>
    <t>&gt; 10.0 or 12.0 to 15</t>
  </si>
  <si>
    <t>--</t>
  </si>
  <si>
    <t>15000+10%</t>
  </si>
  <si>
    <t>Rs. 2.5 to 3.0 or 3.0 to 7.0</t>
  </si>
  <si>
    <t>3.0 to 5.0 or 7.0 to 10.0</t>
  </si>
  <si>
    <t>5.0 to 10.0 or 10.0 to 12</t>
  </si>
  <si>
    <t>20000+10%</t>
  </si>
  <si>
    <t>Split the Arrears Received this year into concerned years</t>
  </si>
  <si>
    <t>Rebate under section 87A</t>
  </si>
  <si>
    <t>Net Tax on total income</t>
  </si>
  <si>
    <r>
      <t xml:space="preserve">Enter only the taxable income (Refer ITR V of respective FY) and the arrear amount of relevant years
</t>
    </r>
    <r>
      <rPr>
        <b/>
        <sz val="14"/>
        <color indexed="10"/>
        <rFont val="Arial"/>
        <family val="2"/>
      </rPr>
      <t>(Only the details of years to which arrears are applicable is to be entered. Leave others blank)</t>
    </r>
  </si>
  <si>
    <t>You have to fill in only Part-B.   It takes less than 2 minutes</t>
  </si>
  <si>
    <t>2027</t>
  </si>
  <si>
    <t>Upto Rs. 4.0</t>
  </si>
  <si>
    <t>4.0 to 8.0</t>
  </si>
  <si>
    <t>8.0 to 12.0</t>
  </si>
  <si>
    <t>12.0 to 16.0</t>
  </si>
  <si>
    <t>16.0 to 20.0</t>
  </si>
  <si>
    <t>20.0 to 24.0</t>
  </si>
  <si>
    <t>Above 24.0</t>
  </si>
  <si>
    <t>60000 + 15%</t>
  </si>
  <si>
    <t>120000 + 20%</t>
  </si>
  <si>
    <t>200000 + 25%</t>
  </si>
  <si>
    <t>300000 + 30%</t>
  </si>
  <si>
    <t>TAX REGIME (Select from drop menu)</t>
  </si>
  <si>
    <t>New regime</t>
  </si>
  <si>
    <t>Tax  to be paid for the FY: 2025-26; AY:2026-27</t>
  </si>
  <si>
    <t>Salary as per provisions contained in section 17(1). (Total gross salary income for the current FY) (Monthwise details should be furnished from March paid in April to February including anticipated arrears of pay and allowances, compensatory pay, tuition fees, DA etc.)</t>
  </si>
  <si>
    <t>LESS - Less Allowances to the extent exempt under section 10 (Only for OLD REGIME)</t>
  </si>
  <si>
    <t>CERTIFICATE</t>
  </si>
  <si>
    <t>4. Certified that the particulars furnished above by me are correct.</t>
  </si>
  <si>
    <t xml:space="preserve">Station:  </t>
  </si>
  <si>
    <t>Note to the Employee:-</t>
  </si>
  <si>
    <t>1. Deduction under section 80C+80CCC+80CCD(1) can’t exceeds Rs 150,000/- ( Section 80CCE)</t>
  </si>
  <si>
    <t>2. Deduction of Rs. 50,000/- under section 80CCD(1B) is over &amp; above deduction under section 80CCD(1). Thus Section 80CCE in point 1. above will not applicable to this deduction.</t>
  </si>
  <si>
    <t>3. Provided No Deduction under section 80CCD(1B) shall be allowed in respect of the amount on which a deduction has been claimed and allowed u/s 80CCD(1)</t>
  </si>
  <si>
    <t>4. Deduction u/s 80D shall be allowed only if the payment is made by any mode other than cash. Exception is only for amount paid for Preventive health check up.</t>
  </si>
  <si>
    <t>5. Maximum Deduction u/s 80D shall be allowed only upto RS 25,000/- (Indl/others), Rs 50000/- ( Sr Citizen) .</t>
  </si>
  <si>
    <t>6. For Interest on housing loan:- provided such acquisition or construction is completed within [three] years from the end of the financial year in which capital was borrowed.</t>
  </si>
  <si>
    <t>7. Original Rent Receipts every month (with Revenue Stamp above Rs. 4999/-) or Rent Agreement. Receipt should contain PAN of Landlord if Rent for the year exceeds one Lakh.</t>
  </si>
  <si>
    <t>1. Certified that I am contributing a sum of Rs.____________________ towards PPF and a sum of Rs.______________ _________towards LIC Premium and the polices are kept alive.</t>
  </si>
  <si>
    <t>2. Certified that I have purchased/intend to purchase NSC/NSS  Rs._______________________( No.  ­­­­­________)</t>
  </si>
  <si>
    <t>3. Certified that I have purchased/intend to purchase infrastructure bonds Rs.____________________ (No _________)</t>
  </si>
  <si>
    <t>Date of Retirement</t>
  </si>
  <si>
    <t>Date of birth (dd/mm/yyyy)</t>
  </si>
  <si>
    <t>Signature of Assessee</t>
  </si>
  <si>
    <t xml:space="preserve">Tax Rebate under section 87A upto Rs. 60000 for individuals having Rs.12.0 lakhs (New regime), upto 12500 for individuals having Rs.5.0 lakhs (Old regime).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</si>
</sst>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409]d\-mmm\-yyyy;@"/>
    <numFmt numFmtId="166" formatCode="&quot;     &quot;####&quot; &quot;"/>
    <numFmt numFmtId="167" formatCode="&quot;₹&quot;\ #,##0.00"/>
    <numFmt numFmtId="168" formatCode="\(\+\9\1\)\ ##\ ##\ ######"/>
    <numFmt numFmtId="169" formatCode="####\ ####\ ####"/>
    <numFmt numFmtId="170" formatCode="0.000"/>
    <numFmt numFmtId="171" formatCode="&quot;₹&quot;#,##0.00"/>
    <numFmt numFmtId="172" formatCode="yyyy\-mm\-dd;@"/>
    <numFmt numFmtId="173" formatCode="yyyy/mm/dd;@"/>
    <numFmt numFmtId="174" formatCode="[$-409]d/mmm/yyyy;@"/>
    <numFmt numFmtId="175" formatCode="d\-mmm\-yy;@"/>
  </numFmts>
  <fonts count="86" x14ac:knownFonts="1">
    <font>
      <sz val="11"/>
      <color theme="1"/>
      <name val="Calibri"/>
      <family val="2"/>
      <scheme val="minor"/>
    </font>
    <font>
      <b/>
      <sz val="11"/>
      <name val="Times New Roman"/>
      <family val="1"/>
    </font>
    <font>
      <sz val="11"/>
      <name val="Times New Roman"/>
      <family val="1"/>
    </font>
    <font>
      <sz val="8"/>
      <color indexed="81"/>
      <name val="Tahoma"/>
      <family val="2"/>
    </font>
    <font>
      <b/>
      <sz val="10"/>
      <name val="Arial Narrow"/>
      <family val="2"/>
    </font>
    <font>
      <sz val="10"/>
      <name val="Arial Narrow"/>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9"/>
      <name val="Cambria"/>
      <family val="1"/>
      <scheme val="major"/>
    </font>
    <font>
      <sz val="9"/>
      <color theme="1"/>
      <name val="Cambria"/>
      <family val="1"/>
      <scheme val="major"/>
    </font>
    <font>
      <b/>
      <sz val="9"/>
      <color rgb="FF000000"/>
      <name val="Arial"/>
      <family val="2"/>
    </font>
    <font>
      <b/>
      <sz val="9"/>
      <name val="Cambria"/>
      <family val="1"/>
      <scheme val="major"/>
    </font>
    <font>
      <b/>
      <sz val="11"/>
      <color rgb="FFFF0000"/>
      <name val="Times New Roman"/>
      <family val="1"/>
    </font>
    <font>
      <sz val="10.5"/>
      <color rgb="FF333333"/>
      <name val="Times New Roman"/>
      <family val="1"/>
    </font>
    <font>
      <b/>
      <sz val="12"/>
      <color theme="3" tint="-0.249977111117893"/>
      <name val="Cambria"/>
      <family val="1"/>
      <scheme val="major"/>
    </font>
    <font>
      <b/>
      <sz val="22"/>
      <color theme="1"/>
      <name val="Calibri"/>
      <family val="2"/>
      <scheme val="minor"/>
    </font>
    <font>
      <sz val="9"/>
      <color rgb="FF000000"/>
      <name val="Tahoma"/>
      <family val="2"/>
    </font>
    <font>
      <b/>
      <sz val="10"/>
      <color theme="1"/>
      <name val="Arial Nova"/>
      <family val="2"/>
    </font>
    <font>
      <sz val="10"/>
      <color theme="1"/>
      <name val="Arial Nova"/>
      <family val="2"/>
    </font>
    <font>
      <sz val="10"/>
      <color indexed="8"/>
      <name val="Arial Nova"/>
      <family val="2"/>
    </font>
    <font>
      <sz val="10"/>
      <name val="Arial Nova"/>
      <family val="2"/>
    </font>
    <font>
      <b/>
      <sz val="10"/>
      <name val="Arial Nova"/>
      <family val="2"/>
    </font>
    <font>
      <b/>
      <i/>
      <sz val="10"/>
      <name val="Arial Nova"/>
      <family val="2"/>
    </font>
    <font>
      <i/>
      <sz val="10"/>
      <name val="Arial Nova"/>
      <family val="2"/>
    </font>
    <font>
      <sz val="10"/>
      <name val="Arial Nova"/>
      <family val="2"/>
    </font>
    <font>
      <sz val="10"/>
      <color rgb="FF000000"/>
      <name val="Arial Nova"/>
      <family val="2"/>
    </font>
    <font>
      <sz val="11"/>
      <color theme="8"/>
      <name val="Calibri"/>
      <family val="2"/>
      <scheme val="minor"/>
    </font>
    <font>
      <b/>
      <sz val="11"/>
      <color theme="0"/>
      <name val="Calibri"/>
      <family val="2"/>
      <scheme val="minor"/>
    </font>
    <font>
      <sz val="11"/>
      <color theme="0"/>
      <name val="Calibri"/>
      <family val="2"/>
      <scheme val="minor"/>
    </font>
    <font>
      <sz val="10"/>
      <name val="Arial"/>
      <family val="2"/>
    </font>
    <font>
      <b/>
      <sz val="16"/>
      <color theme="0"/>
      <name val="Arial"/>
      <family val="2"/>
    </font>
    <font>
      <sz val="12"/>
      <name val="Arial"/>
      <family val="2"/>
    </font>
    <font>
      <b/>
      <sz val="12"/>
      <name val="Arial"/>
      <family val="2"/>
    </font>
    <font>
      <sz val="12"/>
      <color indexed="8"/>
      <name val="Arial"/>
      <family val="2"/>
    </font>
    <font>
      <b/>
      <sz val="18"/>
      <color theme="0"/>
      <name val="Arial"/>
      <family val="2"/>
    </font>
    <font>
      <sz val="14"/>
      <color indexed="11"/>
      <name val="Arial"/>
      <family val="2"/>
    </font>
    <font>
      <sz val="12"/>
      <color theme="0"/>
      <name val="Arial"/>
      <family val="2"/>
    </font>
    <font>
      <b/>
      <sz val="14"/>
      <color theme="0"/>
      <name val="Arial"/>
      <family val="2"/>
    </font>
    <font>
      <b/>
      <sz val="10"/>
      <name val="Arial"/>
      <family val="2"/>
    </font>
    <font>
      <b/>
      <sz val="10"/>
      <color indexed="10"/>
      <name val="Arial"/>
      <family val="2"/>
    </font>
    <font>
      <b/>
      <sz val="11"/>
      <color indexed="10"/>
      <name val="Arial"/>
      <family val="2"/>
    </font>
    <font>
      <b/>
      <sz val="10"/>
      <color theme="0"/>
      <name val="Arial"/>
      <family val="2"/>
    </font>
    <font>
      <b/>
      <sz val="14"/>
      <name val="Arial"/>
      <family val="2"/>
    </font>
    <font>
      <b/>
      <sz val="14"/>
      <color theme="5" tint="-0.499984740745262"/>
      <name val="Arial"/>
      <family val="2"/>
    </font>
    <font>
      <b/>
      <sz val="11"/>
      <name val="Arial"/>
      <family val="2"/>
    </font>
    <font>
      <b/>
      <sz val="12"/>
      <color rgb="FFFF0000"/>
      <name val="Arial"/>
      <family val="2"/>
    </font>
    <font>
      <b/>
      <sz val="14"/>
      <color indexed="17"/>
      <name val="Arial"/>
      <family val="2"/>
    </font>
    <font>
      <b/>
      <sz val="11"/>
      <color indexed="17"/>
      <name val="Arial"/>
      <family val="2"/>
    </font>
    <font>
      <sz val="11"/>
      <name val="Arial"/>
      <family val="2"/>
    </font>
    <font>
      <b/>
      <sz val="10"/>
      <color theme="8" tint="-0.499984740745262"/>
      <name val="Arial"/>
      <family val="2"/>
    </font>
    <font>
      <b/>
      <sz val="12"/>
      <color theme="0"/>
      <name val="Arial"/>
      <family val="2"/>
    </font>
    <font>
      <b/>
      <u/>
      <sz val="12"/>
      <name val="Times New Roman"/>
      <family val="1"/>
    </font>
    <font>
      <sz val="9"/>
      <name val="Times New Roman"/>
      <family val="1"/>
    </font>
    <font>
      <b/>
      <sz val="10"/>
      <name val="Times New Roman"/>
      <family val="1"/>
    </font>
    <font>
      <b/>
      <sz val="8"/>
      <name val="Arial"/>
      <family val="2"/>
    </font>
    <font>
      <sz val="10"/>
      <name val="Times New Roman"/>
      <family val="1"/>
    </font>
    <font>
      <i/>
      <sz val="11"/>
      <name val="Times New Roman"/>
      <family val="1"/>
    </font>
    <font>
      <b/>
      <u/>
      <sz val="14"/>
      <name val="Times New Roman"/>
      <family val="1"/>
    </font>
    <font>
      <b/>
      <sz val="10"/>
      <color indexed="12"/>
      <name val="Arial"/>
      <family val="2"/>
    </font>
    <font>
      <b/>
      <sz val="8"/>
      <name val="Times New Roman"/>
      <family val="1"/>
    </font>
    <font>
      <i/>
      <sz val="10"/>
      <name val="Times New Roman"/>
      <family val="1"/>
    </font>
    <font>
      <sz val="10"/>
      <color rgb="FFFF0000"/>
      <name val="Arial"/>
      <family val="2"/>
    </font>
    <font>
      <b/>
      <sz val="16"/>
      <color theme="1"/>
      <name val="Calibri"/>
      <family val="2"/>
      <scheme val="minor"/>
    </font>
    <font>
      <u/>
      <sz val="10"/>
      <color theme="10"/>
      <name val="Arial"/>
      <family val="2"/>
    </font>
    <font>
      <sz val="14"/>
      <color theme="0"/>
      <name val="Calibri"/>
      <family val="2"/>
      <scheme val="minor"/>
    </font>
    <font>
      <b/>
      <sz val="14"/>
      <color theme="1"/>
      <name val="Calibri"/>
      <family val="2"/>
      <scheme val="minor"/>
    </font>
    <font>
      <i/>
      <sz val="9"/>
      <color theme="1"/>
      <name val="Times New Roman"/>
      <family val="1"/>
    </font>
    <font>
      <b/>
      <i/>
      <sz val="8"/>
      <color theme="1"/>
      <name val="Book Antiqua"/>
      <family val="1"/>
    </font>
    <font>
      <i/>
      <sz val="8"/>
      <color theme="1"/>
      <name val="Book Antiqua"/>
      <family val="1"/>
    </font>
    <font>
      <sz val="9"/>
      <name val="Arial Nova Cond"/>
      <family val="2"/>
    </font>
    <font>
      <b/>
      <sz val="14"/>
      <color indexed="8"/>
      <name val="Arial"/>
      <family val="2"/>
    </font>
    <font>
      <b/>
      <sz val="14"/>
      <color indexed="10"/>
      <name val="Arial"/>
      <family val="2"/>
    </font>
    <font>
      <b/>
      <i/>
      <sz val="8"/>
      <name val="Book Antiqua"/>
      <family val="1"/>
    </font>
    <font>
      <i/>
      <sz val="8"/>
      <name val="Book Antiqua"/>
      <family val="1"/>
    </font>
    <font>
      <b/>
      <sz val="14"/>
      <name val="Calibri"/>
      <family val="2"/>
      <scheme val="minor"/>
    </font>
    <font>
      <i/>
      <sz val="10"/>
      <color rgb="FFFF0000"/>
      <name val="Arial Nova"/>
      <family val="2"/>
    </font>
    <font>
      <sz val="9"/>
      <color indexed="81"/>
      <name val="Tahoma"/>
      <family val="2"/>
    </font>
    <font>
      <b/>
      <sz val="9"/>
      <color indexed="81"/>
      <name val="Tahoma"/>
      <family val="2"/>
    </font>
    <font>
      <b/>
      <sz val="12"/>
      <color theme="1"/>
      <name val="Cambria"/>
      <family val="1"/>
      <scheme val="major"/>
    </font>
    <font>
      <i/>
      <sz val="10"/>
      <color theme="1"/>
      <name val="Arial Nova"/>
      <family val="2"/>
    </font>
    <font>
      <i/>
      <sz val="11"/>
      <color theme="1"/>
      <name val="Arial Nova"/>
      <family val="2"/>
    </font>
    <font>
      <i/>
      <sz val="11"/>
      <color theme="1"/>
      <name val="Calibri"/>
      <family val="2"/>
      <scheme val="minor"/>
    </font>
    <font>
      <b/>
      <i/>
      <sz val="10"/>
      <color theme="1"/>
      <name val="Arial Nova"/>
      <family val="2"/>
    </font>
  </fonts>
  <fills count="38">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bgColor indexed="64"/>
      </patternFill>
    </fill>
    <fill>
      <patternFill patternType="solid">
        <fgColor rgb="FF0070C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00B050"/>
        <bgColor indexed="64"/>
      </patternFill>
    </fill>
    <fill>
      <patternFill patternType="solid">
        <fgColor theme="4" tint="0.79998168889431442"/>
        <bgColor indexed="26"/>
      </patternFill>
    </fill>
    <fill>
      <patternFill patternType="solid">
        <fgColor rgb="FFFFFF99"/>
        <bgColor indexed="34"/>
      </patternFill>
    </fill>
    <fill>
      <patternFill patternType="solid">
        <fgColor indexed="9"/>
        <bgColor indexed="26"/>
      </patternFill>
    </fill>
    <fill>
      <patternFill patternType="solid">
        <fgColor theme="3" tint="0.39997558519241921"/>
        <bgColor indexed="26"/>
      </patternFill>
    </fill>
    <fill>
      <patternFill patternType="solid">
        <fgColor theme="3" tint="0.39997558519241921"/>
        <bgColor indexed="41"/>
      </patternFill>
    </fill>
    <fill>
      <patternFill patternType="solid">
        <fgColor theme="8" tint="0.39997558519241921"/>
        <bgColor indexed="26"/>
      </patternFill>
    </fill>
    <fill>
      <patternFill patternType="solid">
        <fgColor rgb="FF92D050"/>
        <bgColor indexed="64"/>
      </patternFill>
    </fill>
    <fill>
      <patternFill patternType="solid">
        <fgColor rgb="FFC00000"/>
        <bgColor indexed="64"/>
      </patternFill>
    </fill>
    <fill>
      <patternFill patternType="solid">
        <fgColor theme="9" tint="0.59999389629810485"/>
        <bgColor indexed="26"/>
      </patternFill>
    </fill>
    <fill>
      <patternFill patternType="solid">
        <fgColor theme="0"/>
        <bgColor indexed="26"/>
      </patternFill>
    </fill>
    <fill>
      <patternFill patternType="solid">
        <fgColor theme="0"/>
        <bgColor indexed="41"/>
      </patternFill>
    </fill>
    <fill>
      <patternFill patternType="solid">
        <fgColor theme="9" tint="-0.249977111117893"/>
        <bgColor indexed="41"/>
      </patternFill>
    </fill>
    <fill>
      <patternFill patternType="solid">
        <fgColor theme="6" tint="-0.249977111117893"/>
        <bgColor indexed="64"/>
      </patternFill>
    </fill>
    <fill>
      <patternFill patternType="solid">
        <fgColor indexed="8"/>
        <bgColor indexed="58"/>
      </patternFill>
    </fill>
    <fill>
      <patternFill patternType="solid">
        <fgColor theme="9" tint="-0.249977111117893"/>
        <bgColor indexed="64"/>
      </patternFill>
    </fill>
    <fill>
      <patternFill patternType="solid">
        <fgColor theme="6"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s>
  <cellStyleXfs count="5">
    <xf numFmtId="0" fontId="0" fillId="0" borderId="0"/>
    <xf numFmtId="164" fontId="6" fillId="0" borderId="0" applyFont="0" applyFill="0" applyBorder="0" applyAlignment="0" applyProtection="0"/>
    <xf numFmtId="0" fontId="7" fillId="0" borderId="0" applyNumberFormat="0" applyFill="0" applyBorder="0" applyAlignment="0" applyProtection="0"/>
    <xf numFmtId="0" fontId="32" fillId="0" borderId="0"/>
    <xf numFmtId="0" fontId="66" fillId="0" borderId="0" applyNumberFormat="0" applyFill="0" applyBorder="0" applyAlignment="0" applyProtection="0">
      <alignment vertical="top"/>
      <protection locked="0"/>
    </xf>
  </cellStyleXfs>
  <cellXfs count="579">
    <xf numFmtId="0" fontId="0" fillId="0" borderId="0" xfId="0"/>
    <xf numFmtId="0" fontId="1" fillId="0" borderId="0" xfId="0" applyFont="1"/>
    <xf numFmtId="0" fontId="2" fillId="0" borderId="0" xfId="0" applyFont="1" applyAlignment="1">
      <alignment vertical="justify"/>
    </xf>
    <xf numFmtId="0" fontId="1" fillId="0" borderId="0" xfId="0" applyFont="1" applyAlignment="1">
      <alignment horizontal="center"/>
    </xf>
    <xf numFmtId="1" fontId="1" fillId="0" borderId="0" xfId="0" applyNumberFormat="1" applyFont="1"/>
    <xf numFmtId="0" fontId="8" fillId="0" borderId="0" xfId="0" applyFont="1" applyAlignment="1">
      <alignment horizontal="center"/>
    </xf>
    <xf numFmtId="0" fontId="1" fillId="4" borderId="0" xfId="0" applyFont="1" applyFill="1" applyAlignment="1">
      <alignment horizontal="center"/>
    </xf>
    <xf numFmtId="0" fontId="10" fillId="0" borderId="0" xfId="0" applyFont="1"/>
    <xf numFmtId="0" fontId="0" fillId="6" borderId="0" xfId="0" applyFill="1"/>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justify"/>
    </xf>
    <xf numFmtId="0" fontId="12" fillId="7" borderId="1" xfId="0" applyFont="1" applyFill="1" applyBorder="1"/>
    <xf numFmtId="0" fontId="11" fillId="7" borderId="1" xfId="0" applyFont="1" applyFill="1" applyBorder="1" applyAlignment="1">
      <alignment horizontal="left" vertical="center"/>
    </xf>
    <xf numFmtId="0" fontId="12" fillId="7" borderId="1" xfId="0" applyFont="1" applyFill="1" applyBorder="1" applyAlignment="1">
      <alignment vertical="center"/>
    </xf>
    <xf numFmtId="0" fontId="12" fillId="7" borderId="1" xfId="0" applyFont="1" applyFill="1" applyBorder="1" applyAlignment="1">
      <alignment vertical="center" wrapText="1"/>
    </xf>
    <xf numFmtId="0" fontId="9" fillId="6" borderId="0" xfId="0" applyFont="1" applyFill="1" applyAlignment="1" applyProtection="1">
      <alignment horizontal="center"/>
      <protection locked="0"/>
    </xf>
    <xf numFmtId="1" fontId="5" fillId="9" borderId="1" xfId="0" applyNumberFormat="1" applyFont="1" applyFill="1" applyBorder="1" applyAlignment="1">
      <alignment vertical="center"/>
    </xf>
    <xf numFmtId="1" fontId="4" fillId="9" borderId="1" xfId="0" applyNumberFormat="1" applyFont="1" applyFill="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xf>
    <xf numFmtId="0" fontId="5" fillId="2" borderId="2" xfId="0" applyFont="1" applyFill="1" applyBorder="1" applyAlignment="1">
      <alignment vertical="center"/>
    </xf>
    <xf numFmtId="0" fontId="5" fillId="2" borderId="0" xfId="0" applyFont="1" applyFill="1" applyAlignment="1">
      <alignment vertical="center"/>
    </xf>
    <xf numFmtId="1" fontId="5" fillId="5" borderId="3" xfId="0" applyNumberFormat="1" applyFont="1" applyFill="1" applyBorder="1" applyAlignment="1" applyProtection="1">
      <alignment vertical="center"/>
      <protection locked="0"/>
    </xf>
    <xf numFmtId="1" fontId="4" fillId="9" borderId="2" xfId="0" applyNumberFormat="1" applyFont="1" applyFill="1" applyBorder="1" applyAlignment="1">
      <alignment vertical="center"/>
    </xf>
    <xf numFmtId="0" fontId="5" fillId="2" borderId="5" xfId="0" applyFont="1" applyFill="1" applyBorder="1" applyAlignment="1">
      <alignment vertical="center"/>
    </xf>
    <xf numFmtId="1" fontId="4" fillId="9" borderId="5" xfId="0" applyNumberFormat="1" applyFont="1" applyFill="1" applyBorder="1" applyAlignment="1">
      <alignment vertical="center"/>
    </xf>
    <xf numFmtId="0" fontId="5" fillId="2" borderId="6" xfId="0" applyFont="1" applyFill="1" applyBorder="1" applyAlignment="1">
      <alignment vertical="center"/>
    </xf>
    <xf numFmtId="1" fontId="5" fillId="7" borderId="1" xfId="0" applyNumberFormat="1" applyFont="1" applyFill="1" applyBorder="1" applyAlignment="1">
      <alignment vertical="center"/>
    </xf>
    <xf numFmtId="0" fontId="5" fillId="2" borderId="7" xfId="0" applyFont="1" applyFill="1" applyBorder="1" applyAlignment="1">
      <alignment vertical="center"/>
    </xf>
    <xf numFmtId="0" fontId="4" fillId="9" borderId="1" xfId="0" applyFont="1" applyFill="1" applyBorder="1" applyAlignment="1">
      <alignment horizontal="right" vertical="center"/>
    </xf>
    <xf numFmtId="0" fontId="4" fillId="9" borderId="1" xfId="0" applyFont="1" applyFill="1" applyBorder="1" applyAlignment="1">
      <alignment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8" borderId="1" xfId="0" applyFont="1" applyFill="1" applyBorder="1" applyAlignment="1">
      <alignment horizontal="right" vertical="center"/>
    </xf>
    <xf numFmtId="0" fontId="9" fillId="6" borderId="0" xfId="0" applyFont="1" applyFill="1" applyAlignment="1">
      <alignment horizontal="center"/>
    </xf>
    <xf numFmtId="0" fontId="5" fillId="5" borderId="1" xfId="0" applyFont="1" applyFill="1" applyBorder="1" applyAlignment="1" applyProtection="1">
      <alignment horizontal="right" vertical="center"/>
      <protection locked="0"/>
    </xf>
    <xf numFmtId="0" fontId="5" fillId="5" borderId="7"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0" fontId="5" fillId="10" borderId="7" xfId="0" applyFont="1" applyFill="1" applyBorder="1" applyAlignment="1">
      <alignment vertical="center"/>
    </xf>
    <xf numFmtId="1" fontId="5" fillId="6" borderId="1" xfId="0" applyNumberFormat="1" applyFont="1" applyFill="1" applyBorder="1" applyAlignment="1" applyProtection="1">
      <alignment vertical="center"/>
      <protection locked="0"/>
    </xf>
    <xf numFmtId="1" fontId="5" fillId="11" borderId="1" xfId="0" applyNumberFormat="1" applyFont="1" applyFill="1" applyBorder="1" applyAlignment="1">
      <alignment vertical="center"/>
    </xf>
    <xf numFmtId="1" fontId="4" fillId="8" borderId="1" xfId="0" applyNumberFormat="1" applyFont="1" applyFill="1" applyBorder="1" applyAlignment="1">
      <alignment horizontal="right" vertical="center"/>
    </xf>
    <xf numFmtId="0" fontId="16" fillId="12" borderId="0" xfId="0" applyFont="1" applyFill="1" applyAlignment="1">
      <alignment horizontal="left" vertical="center" indent="1"/>
    </xf>
    <xf numFmtId="49" fontId="11" fillId="14" borderId="1" xfId="0" applyNumberFormat="1" applyFont="1" applyFill="1" applyBorder="1" applyAlignment="1" applyProtection="1">
      <alignment vertical="center"/>
      <protection locked="0"/>
    </xf>
    <xf numFmtId="49" fontId="12" fillId="14" borderId="1" xfId="0" applyNumberFormat="1" applyFont="1" applyFill="1" applyBorder="1" applyAlignment="1" applyProtection="1">
      <alignment vertical="center"/>
      <protection locked="0"/>
    </xf>
    <xf numFmtId="166" fontId="11" fillId="14" borderId="1" xfId="0" applyNumberFormat="1" applyFont="1" applyFill="1" applyBorder="1" applyAlignment="1" applyProtection="1">
      <alignment vertical="center"/>
      <protection locked="0"/>
    </xf>
    <xf numFmtId="168" fontId="11" fillId="14" borderId="1" xfId="0" applyNumberFormat="1" applyFont="1" applyFill="1" applyBorder="1" applyAlignment="1" applyProtection="1">
      <alignment horizontal="left" vertical="center"/>
      <protection locked="0"/>
    </xf>
    <xf numFmtId="0" fontId="7" fillId="14" borderId="1" xfId="2" applyFill="1" applyBorder="1" applyAlignment="1" applyProtection="1">
      <alignment vertical="center"/>
      <protection locked="0"/>
    </xf>
    <xf numFmtId="0" fontId="11" fillId="14" borderId="1" xfId="0" applyFont="1" applyFill="1" applyBorder="1" applyAlignment="1" applyProtection="1">
      <alignment horizontal="left" vertical="center"/>
      <protection locked="0"/>
    </xf>
    <xf numFmtId="169" fontId="11" fillId="14" borderId="1" xfId="0" applyNumberFormat="1" applyFont="1" applyFill="1" applyBorder="1" applyAlignment="1" applyProtection="1">
      <alignment horizontal="left" vertical="center"/>
      <protection locked="0"/>
    </xf>
    <xf numFmtId="0" fontId="11" fillId="14" borderId="1" xfId="0" applyFont="1" applyFill="1" applyBorder="1" applyAlignment="1" applyProtection="1">
      <alignment horizontal="center" vertical="center"/>
      <protection locked="0"/>
    </xf>
    <xf numFmtId="0" fontId="11" fillId="14" borderId="1" xfId="0" applyFont="1" applyFill="1" applyBorder="1" applyAlignment="1" applyProtection="1">
      <alignment horizontal="right" vertical="center"/>
      <protection locked="0"/>
    </xf>
    <xf numFmtId="0" fontId="12" fillId="14" borderId="1" xfId="0" applyFont="1" applyFill="1" applyBorder="1" applyAlignment="1" applyProtection="1">
      <alignment horizontal="center" vertical="center"/>
      <protection locked="0"/>
    </xf>
    <xf numFmtId="165" fontId="12" fillId="14" borderId="1" xfId="0" applyNumberFormat="1" applyFont="1" applyFill="1" applyBorder="1" applyAlignment="1" applyProtection="1">
      <alignment horizontal="center" vertical="center"/>
      <protection locked="0"/>
    </xf>
    <xf numFmtId="0" fontId="12" fillId="14" borderId="1" xfId="0" applyFont="1" applyFill="1" applyBorder="1" applyProtection="1">
      <protection locked="0"/>
    </xf>
    <xf numFmtId="0" fontId="12" fillId="14" borderId="1" xfId="0" applyFont="1" applyFill="1" applyBorder="1" applyAlignment="1" applyProtection="1">
      <alignment vertical="center" wrapText="1"/>
      <protection locked="0"/>
    </xf>
    <xf numFmtId="165" fontId="12" fillId="11" borderId="1" xfId="0" applyNumberFormat="1" applyFont="1" applyFill="1" applyBorder="1" applyAlignment="1">
      <alignment horizontal="center" vertical="center"/>
    </xf>
    <xf numFmtId="0" fontId="12" fillId="11" borderId="1" xfId="0" applyFont="1" applyFill="1" applyBorder="1" applyAlignment="1">
      <alignment horizontal="center" vertical="center"/>
    </xf>
    <xf numFmtId="22" fontId="0" fillId="0" borderId="0" xfId="0" applyNumberFormat="1"/>
    <xf numFmtId="49" fontId="11" fillId="13" borderId="1" xfId="0" applyNumberFormat="1" applyFont="1" applyFill="1" applyBorder="1" applyAlignment="1" applyProtection="1">
      <alignment horizontal="center" vertical="center" wrapText="1"/>
      <protection locked="0"/>
    </xf>
    <xf numFmtId="49" fontId="11" fillId="13" borderId="3" xfId="0" applyNumberFormat="1" applyFont="1" applyFill="1" applyBorder="1" applyAlignment="1" applyProtection="1">
      <alignment horizontal="center" vertical="center" wrapText="1"/>
      <protection locked="0"/>
    </xf>
    <xf numFmtId="0" fontId="17" fillId="7" borderId="1" xfId="0" applyFont="1" applyFill="1" applyBorder="1" applyAlignment="1">
      <alignment vertical="center" wrapText="1"/>
    </xf>
    <xf numFmtId="0" fontId="17" fillId="7" borderId="1" xfId="0" applyFont="1" applyFill="1" applyBorder="1" applyAlignment="1">
      <alignment vertical="center"/>
    </xf>
    <xf numFmtId="0" fontId="17" fillId="7" borderId="1" xfId="0" applyFont="1" applyFill="1" applyBorder="1" applyAlignment="1">
      <alignment horizontal="justify" vertical="center"/>
    </xf>
    <xf numFmtId="0" fontId="18" fillId="13" borderId="0" xfId="0" quotePrefix="1" applyFont="1" applyFill="1" applyAlignment="1">
      <alignment horizontal="center"/>
    </xf>
    <xf numFmtId="0" fontId="0" fillId="15" borderId="0" xfId="0" applyFill="1"/>
    <xf numFmtId="0" fontId="10" fillId="15" borderId="0" xfId="0" applyFont="1" applyFill="1"/>
    <xf numFmtId="0" fontId="9" fillId="15" borderId="0" xfId="0" applyFont="1" applyFill="1"/>
    <xf numFmtId="167" fontId="11" fillId="0" borderId="1" xfId="0" applyNumberFormat="1" applyFont="1" applyBorder="1"/>
    <xf numFmtId="167" fontId="11" fillId="7" borderId="1" xfId="0" applyNumberFormat="1" applyFont="1" applyFill="1" applyBorder="1"/>
    <xf numFmtId="167" fontId="12" fillId="0" borderId="1" xfId="0" applyNumberFormat="1" applyFont="1" applyBorder="1" applyAlignment="1">
      <alignment vertical="center" wrapText="1"/>
    </xf>
    <xf numFmtId="167" fontId="12" fillId="7" borderId="1" xfId="0" applyNumberFormat="1" applyFont="1" applyFill="1" applyBorder="1" applyAlignment="1">
      <alignment vertical="center" wrapText="1"/>
    </xf>
    <xf numFmtId="167" fontId="12" fillId="14" borderId="1" xfId="0" applyNumberFormat="1" applyFont="1" applyFill="1" applyBorder="1" applyProtection="1">
      <protection locked="0"/>
    </xf>
    <xf numFmtId="167" fontId="12" fillId="14" borderId="1" xfId="0" applyNumberFormat="1" applyFont="1" applyFill="1" applyBorder="1" applyAlignment="1" applyProtection="1">
      <alignment vertical="center"/>
      <protection locked="0"/>
    </xf>
    <xf numFmtId="0" fontId="17" fillId="7" borderId="1" xfId="0" applyFont="1" applyFill="1" applyBorder="1" applyAlignment="1">
      <alignment horizontal="left" vertical="center"/>
    </xf>
    <xf numFmtId="0" fontId="0" fillId="15" borderId="0" xfId="0" applyFill="1" applyAlignment="1">
      <alignment horizontal="left"/>
    </xf>
    <xf numFmtId="1" fontId="5" fillId="5" borderId="3" xfId="0" quotePrefix="1" applyNumberFormat="1" applyFont="1" applyFill="1" applyBorder="1" applyAlignment="1" applyProtection="1">
      <alignment vertical="center"/>
      <protection locked="0"/>
    </xf>
    <xf numFmtId="170" fontId="12" fillId="11" borderId="1" xfId="0" applyNumberFormat="1" applyFont="1" applyFill="1" applyBorder="1" applyAlignment="1">
      <alignment horizontal="center" vertical="center"/>
    </xf>
    <xf numFmtId="0" fontId="14" fillId="15" borderId="0" xfId="0" applyFont="1" applyFill="1" applyAlignment="1">
      <alignment horizontal="right" vertical="center"/>
    </xf>
    <xf numFmtId="0" fontId="12" fillId="15" borderId="0" xfId="0" applyFont="1" applyFill="1"/>
    <xf numFmtId="1" fontId="5" fillId="5" borderId="1" xfId="0" quotePrefix="1" applyNumberFormat="1" applyFont="1" applyFill="1" applyBorder="1" applyAlignment="1" applyProtection="1">
      <alignment vertical="center"/>
      <protection locked="0"/>
    </xf>
    <xf numFmtId="1" fontId="5" fillId="5" borderId="1" xfId="0" applyNumberFormat="1" applyFont="1" applyFill="1" applyBorder="1" applyAlignment="1" applyProtection="1">
      <alignment vertical="center"/>
      <protection locked="0"/>
    </xf>
    <xf numFmtId="0" fontId="13" fillId="0" borderId="0" xfId="0" applyFont="1"/>
    <xf numFmtId="167" fontId="12" fillId="7" borderId="1" xfId="0" applyNumberFormat="1" applyFont="1" applyFill="1" applyBorder="1"/>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left" vertical="center"/>
    </xf>
    <xf numFmtId="0" fontId="20" fillId="3" borderId="1" xfId="0" applyFont="1" applyFill="1" applyBorder="1" applyAlignment="1">
      <alignment horizontal="right" vertical="center" wrapText="1"/>
    </xf>
    <xf numFmtId="0" fontId="21" fillId="0" borderId="1" xfId="0" applyFont="1" applyBorder="1" applyAlignment="1">
      <alignment horizontal="center" vertical="top"/>
    </xf>
    <xf numFmtId="171" fontId="21" fillId="0" borderId="1" xfId="1" applyNumberFormat="1" applyFont="1" applyBorder="1" applyAlignment="1" applyProtection="1">
      <alignment horizontal="right" vertical="center"/>
    </xf>
    <xf numFmtId="0" fontId="21" fillId="0" borderId="1" xfId="0" applyFont="1" applyBorder="1" applyAlignment="1">
      <alignment horizontal="center" vertical="center"/>
    </xf>
    <xf numFmtId="171" fontId="21" fillId="5" borderId="1" xfId="1" applyNumberFormat="1" applyFont="1" applyFill="1" applyBorder="1" applyAlignment="1" applyProtection="1">
      <alignment horizontal="right" vertical="center"/>
      <protection locked="0"/>
    </xf>
    <xf numFmtId="171" fontId="21" fillId="3" borderId="1" xfId="1" applyNumberFormat="1" applyFont="1" applyFill="1" applyBorder="1" applyAlignment="1" applyProtection="1">
      <alignment vertical="center"/>
    </xf>
    <xf numFmtId="171" fontId="21" fillId="5" borderId="1" xfId="1" applyNumberFormat="1" applyFont="1" applyFill="1" applyBorder="1" applyAlignment="1" applyProtection="1">
      <alignment vertical="center"/>
      <protection locked="0"/>
    </xf>
    <xf numFmtId="0" fontId="23" fillId="0" borderId="1" xfId="0" applyFont="1" applyBorder="1" applyAlignment="1">
      <alignment horizontal="center" vertical="center"/>
    </xf>
    <xf numFmtId="0" fontId="23" fillId="0" borderId="1" xfId="0" applyFont="1" applyBorder="1" applyAlignment="1">
      <alignment horizontal="left" vertical="center"/>
    </xf>
    <xf numFmtId="171" fontId="23" fillId="5" borderId="1" xfId="1" applyNumberFormat="1" applyFont="1" applyFill="1" applyBorder="1" applyAlignment="1" applyProtection="1">
      <alignment horizontal="right" vertical="center"/>
      <protection locked="0"/>
    </xf>
    <xf numFmtId="171" fontId="23" fillId="5" borderId="1" xfId="1" applyNumberFormat="1" applyFont="1" applyFill="1" applyBorder="1" applyAlignment="1" applyProtection="1">
      <alignment vertical="center"/>
      <protection locked="0"/>
    </xf>
    <xf numFmtId="171" fontId="23" fillId="5" borderId="1" xfId="1" applyNumberFormat="1" applyFont="1" applyFill="1" applyBorder="1" applyAlignment="1" applyProtection="1">
      <alignment horizontal="center" vertical="center"/>
      <protection locked="0"/>
    </xf>
    <xf numFmtId="167" fontId="23" fillId="0" borderId="1" xfId="0" applyNumberFormat="1" applyFont="1" applyBorder="1" applyAlignment="1">
      <alignment horizontal="right" vertical="center"/>
    </xf>
    <xf numFmtId="171" fontId="24" fillId="0" borderId="1" xfId="1" applyNumberFormat="1" applyFont="1" applyBorder="1" applyAlignment="1" applyProtection="1">
      <alignment horizontal="right" vertical="center"/>
    </xf>
    <xf numFmtId="171" fontId="24" fillId="5" borderId="1" xfId="1" applyNumberFormat="1" applyFont="1" applyFill="1" applyBorder="1" applyAlignment="1" applyProtection="1">
      <alignment horizontal="right" vertical="center"/>
      <protection locked="0"/>
    </xf>
    <xf numFmtId="0" fontId="23" fillId="0" borderId="1" xfId="0" applyFont="1" applyBorder="1" applyAlignment="1">
      <alignment horizontal="center" vertical="top"/>
    </xf>
    <xf numFmtId="0" fontId="23" fillId="0" borderId="1" xfId="0" applyFont="1" applyBorder="1" applyAlignment="1">
      <alignment horizontal="left" vertical="top"/>
    </xf>
    <xf numFmtId="171" fontId="23" fillId="0" borderId="1" xfId="1" applyNumberFormat="1" applyFont="1" applyFill="1" applyBorder="1" applyAlignment="1" applyProtection="1">
      <alignment horizontal="right" vertical="top"/>
    </xf>
    <xf numFmtId="2" fontId="23" fillId="5" borderId="1" xfId="1" applyNumberFormat="1" applyFont="1" applyFill="1" applyBorder="1" applyAlignment="1" applyProtection="1">
      <alignment horizontal="right" vertical="top"/>
      <protection locked="0"/>
    </xf>
    <xf numFmtId="2" fontId="23" fillId="3" borderId="1" xfId="1" applyNumberFormat="1" applyFont="1" applyFill="1" applyBorder="1" applyAlignment="1" applyProtection="1">
      <alignment horizontal="right" vertical="center"/>
    </xf>
    <xf numFmtId="167" fontId="23" fillId="5" borderId="1" xfId="0" applyNumberFormat="1" applyFont="1" applyFill="1" applyBorder="1" applyAlignment="1" applyProtection="1">
      <alignment horizontal="right" vertical="center"/>
      <protection locked="0"/>
    </xf>
    <xf numFmtId="171" fontId="23" fillId="5" borderId="1" xfId="0" applyNumberFormat="1" applyFont="1" applyFill="1" applyBorder="1" applyAlignment="1" applyProtection="1">
      <alignment vertical="top" wrapText="1"/>
      <protection locked="0"/>
    </xf>
    <xf numFmtId="0" fontId="23" fillId="0" borderId="1" xfId="0" applyFont="1" applyBorder="1"/>
    <xf numFmtId="171" fontId="23" fillId="0" borderId="1" xfId="0" applyNumberFormat="1" applyFont="1" applyBorder="1"/>
    <xf numFmtId="4" fontId="23" fillId="0" borderId="1" xfId="0" applyNumberFormat="1" applyFont="1" applyBorder="1"/>
    <xf numFmtId="4" fontId="23" fillId="16" borderId="1" xfId="0" applyNumberFormat="1" applyFont="1" applyFill="1" applyBorder="1"/>
    <xf numFmtId="171" fontId="21" fillId="0" borderId="1" xfId="0" applyNumberFormat="1" applyFont="1" applyBorder="1" applyAlignment="1">
      <alignment vertical="center"/>
    </xf>
    <xf numFmtId="171" fontId="21" fillId="3" borderId="1" xfId="0" applyNumberFormat="1" applyFont="1" applyFill="1" applyBorder="1" applyAlignment="1">
      <alignment vertical="center"/>
    </xf>
    <xf numFmtId="171" fontId="21" fillId="0" borderId="1" xfId="0" applyNumberFormat="1" applyFont="1" applyBorder="1"/>
    <xf numFmtId="171" fontId="23" fillId="0" borderId="1" xfId="0" applyNumberFormat="1" applyFont="1" applyBorder="1" applyAlignment="1">
      <alignment vertical="center"/>
    </xf>
    <xf numFmtId="171" fontId="24" fillId="3" borderId="1" xfId="0" applyNumberFormat="1" applyFont="1" applyFill="1" applyBorder="1" applyAlignment="1">
      <alignment horizontal="right" vertical="center"/>
    </xf>
    <xf numFmtId="167" fontId="21" fillId="0" borderId="1" xfId="0" applyNumberFormat="1" applyFont="1" applyBorder="1"/>
    <xf numFmtId="0" fontId="21" fillId="0" borderId="1" xfId="0" applyFont="1" applyBorder="1" applyAlignment="1">
      <alignment vertical="top"/>
    </xf>
    <xf numFmtId="171" fontId="21" fillId="5" borderId="1" xfId="0" applyNumberFormat="1" applyFont="1" applyFill="1" applyBorder="1" applyProtection="1">
      <protection locked="0"/>
    </xf>
    <xf numFmtId="0" fontId="21" fillId="3" borderId="1" xfId="0" applyFont="1" applyFill="1" applyBorder="1" applyAlignment="1">
      <alignment vertical="center" wrapText="1"/>
    </xf>
    <xf numFmtId="167" fontId="21" fillId="0" borderId="1" xfId="0" applyNumberFormat="1" applyFont="1" applyBorder="1" applyAlignment="1">
      <alignment vertical="center"/>
    </xf>
    <xf numFmtId="0" fontId="21" fillId="0" borderId="1" xfId="0" applyFont="1" applyBorder="1"/>
    <xf numFmtId="0" fontId="23" fillId="3" borderId="1" xfId="0" applyFont="1" applyFill="1" applyBorder="1"/>
    <xf numFmtId="0" fontId="26" fillId="3" borderId="1" xfId="0" applyFont="1" applyFill="1" applyBorder="1" applyAlignment="1">
      <alignment vertical="top"/>
    </xf>
    <xf numFmtId="0" fontId="26" fillId="0" borderId="1" xfId="0" applyFont="1" applyBorder="1" applyAlignment="1">
      <alignment vertical="top"/>
    </xf>
    <xf numFmtId="0" fontId="26" fillId="3" borderId="1" xfId="0" applyFont="1" applyFill="1" applyBorder="1" applyAlignment="1">
      <alignment horizontal="left" vertical="top"/>
    </xf>
    <xf numFmtId="0" fontId="26" fillId="0" borderId="1" xfId="0" applyFont="1" applyBorder="1" applyAlignment="1">
      <alignment horizontal="left" vertical="top"/>
    </xf>
    <xf numFmtId="171" fontId="23" fillId="0" borderId="1" xfId="0" applyNumberFormat="1" applyFont="1" applyBorder="1" applyAlignment="1">
      <alignment vertical="top"/>
    </xf>
    <xf numFmtId="0" fontId="21" fillId="0" borderId="1" xfId="0" applyFont="1" applyBorder="1" applyAlignment="1">
      <alignment horizontal="center"/>
    </xf>
    <xf numFmtId="0" fontId="23" fillId="0" borderId="1" xfId="0" applyFont="1" applyBorder="1" applyAlignment="1">
      <alignment horizontal="center"/>
    </xf>
    <xf numFmtId="0" fontId="11" fillId="7" borderId="3"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2" fillId="7" borderId="3" xfId="0" applyFont="1" applyFill="1" applyBorder="1" applyAlignment="1">
      <alignment horizontal="left" vertical="center"/>
    </xf>
    <xf numFmtId="0" fontId="12" fillId="7" borderId="8" xfId="0" applyFont="1" applyFill="1" applyBorder="1" applyAlignment="1">
      <alignment horizontal="left" vertical="center"/>
    </xf>
    <xf numFmtId="0" fontId="12" fillId="7" borderId="4" xfId="0" applyFont="1" applyFill="1" applyBorder="1" applyAlignment="1">
      <alignment horizontal="left" vertical="center"/>
    </xf>
    <xf numFmtId="171" fontId="28" fillId="0" borderId="1" xfId="0" applyNumberFormat="1" applyFont="1" applyBorder="1" applyAlignment="1">
      <alignment horizontal="right" vertical="center"/>
    </xf>
    <xf numFmtId="0" fontId="4" fillId="6" borderId="2" xfId="0" applyFont="1" applyFill="1" applyBorder="1" applyAlignment="1">
      <alignment vertical="center"/>
    </xf>
    <xf numFmtId="0" fontId="4" fillId="6" borderId="5" xfId="0" applyFont="1" applyFill="1" applyBorder="1" applyAlignment="1">
      <alignment vertical="center"/>
    </xf>
    <xf numFmtId="0" fontId="4" fillId="6" borderId="7" xfId="0" applyFont="1" applyFill="1" applyBorder="1" applyAlignment="1">
      <alignment vertical="center"/>
    </xf>
    <xf numFmtId="172" fontId="4" fillId="6" borderId="1" xfId="0" applyNumberFormat="1" applyFont="1" applyFill="1" applyBorder="1" applyAlignment="1">
      <alignment horizontal="left" vertical="center"/>
    </xf>
    <xf numFmtId="165" fontId="4" fillId="6" borderId="1" xfId="0" applyNumberFormat="1" applyFont="1" applyFill="1" applyBorder="1" applyAlignment="1">
      <alignment vertical="center"/>
    </xf>
    <xf numFmtId="0" fontId="23" fillId="0" borderId="3" xfId="0" applyFont="1" applyBorder="1" applyAlignment="1">
      <alignment horizontal="left"/>
    </xf>
    <xf numFmtId="0" fontId="23" fillId="0" borderId="8" xfId="0" applyFont="1" applyBorder="1" applyAlignment="1">
      <alignment horizontal="left"/>
    </xf>
    <xf numFmtId="0" fontId="23" fillId="0" borderId="4" xfId="0" applyFont="1" applyBorder="1" applyAlignment="1">
      <alignment horizontal="left"/>
    </xf>
    <xf numFmtId="174" fontId="4" fillId="6" borderId="1" xfId="0" applyNumberFormat="1" applyFont="1" applyFill="1" applyBorder="1" applyAlignment="1">
      <alignment vertical="center"/>
    </xf>
    <xf numFmtId="173" fontId="29" fillId="15" borderId="0" xfId="0" applyNumberFormat="1" applyFont="1" applyFill="1"/>
    <xf numFmtId="0" fontId="32" fillId="0" borderId="0" xfId="3"/>
    <xf numFmtId="0" fontId="34" fillId="0" borderId="1" xfId="3" applyFont="1" applyBorder="1" applyAlignment="1">
      <alignment horizontal="center" vertical="center" wrapText="1"/>
    </xf>
    <xf numFmtId="0" fontId="34" fillId="0" borderId="1" xfId="3" applyFont="1" applyBorder="1" applyAlignment="1">
      <alignment horizontal="justify" vertical="center" wrapText="1"/>
    </xf>
    <xf numFmtId="0" fontId="35" fillId="0" borderId="0" xfId="3" applyFont="1" applyAlignment="1">
      <alignment horizontal="left" vertical="center" wrapText="1"/>
    </xf>
    <xf numFmtId="0" fontId="32" fillId="0" borderId="0" xfId="3" applyAlignment="1">
      <alignment horizontal="left" vertical="center"/>
    </xf>
    <xf numFmtId="0" fontId="34" fillId="0" borderId="1" xfId="3" applyFont="1" applyBorder="1" applyAlignment="1">
      <alignment horizontal="center" vertical="center"/>
    </xf>
    <xf numFmtId="0" fontId="34" fillId="0" borderId="16" xfId="3" applyFont="1" applyBorder="1" applyAlignment="1">
      <alignment horizontal="center" vertical="center" wrapText="1"/>
    </xf>
    <xf numFmtId="0" fontId="36" fillId="0" borderId="16" xfId="3" applyFont="1" applyBorder="1" applyAlignment="1">
      <alignment horizontal="justify" vertical="center" wrapText="1"/>
    </xf>
    <xf numFmtId="0" fontId="34" fillId="0" borderId="17" xfId="3" applyFont="1" applyBorder="1" applyAlignment="1">
      <alignment horizontal="center" vertical="center"/>
    </xf>
    <xf numFmtId="0" fontId="36" fillId="0" borderId="17" xfId="3" applyFont="1" applyBorder="1" applyAlignment="1">
      <alignment horizontal="justify" vertical="center" wrapText="1"/>
    </xf>
    <xf numFmtId="0" fontId="32" fillId="0" borderId="0" xfId="3" applyAlignment="1">
      <alignment horizontal="center" vertical="center"/>
    </xf>
    <xf numFmtId="0" fontId="32" fillId="0" borderId="0" xfId="3" applyAlignment="1">
      <alignment horizontal="center"/>
    </xf>
    <xf numFmtId="0" fontId="44" fillId="24" borderId="1" xfId="3" applyFont="1" applyFill="1" applyBorder="1" applyAlignment="1">
      <alignment horizontal="center" vertical="center" wrapText="1"/>
    </xf>
    <xf numFmtId="0" fontId="44" fillId="25" borderId="1" xfId="3" applyFont="1" applyFill="1" applyBorder="1" applyAlignment="1">
      <alignment horizontal="center" vertical="center" wrapText="1"/>
    </xf>
    <xf numFmtId="1" fontId="44" fillId="25" borderId="1" xfId="3" applyNumberFormat="1" applyFont="1" applyFill="1" applyBorder="1" applyAlignment="1">
      <alignment horizontal="center" vertical="center" wrapText="1"/>
    </xf>
    <xf numFmtId="1" fontId="44" fillId="25" borderId="31" xfId="3" applyNumberFormat="1" applyFont="1" applyFill="1" applyBorder="1" applyAlignment="1">
      <alignment horizontal="center" vertical="center" wrapText="1"/>
    </xf>
    <xf numFmtId="0" fontId="32" fillId="0" borderId="0" xfId="3" applyAlignment="1">
      <alignment horizontal="right" vertical="center" indent="1"/>
    </xf>
    <xf numFmtId="0" fontId="41" fillId="22" borderId="1" xfId="3" applyFont="1" applyFill="1" applyBorder="1" applyAlignment="1" applyProtection="1">
      <alignment horizontal="right" vertical="center" wrapText="1" indent="1"/>
      <protection locked="0"/>
    </xf>
    <xf numFmtId="1" fontId="41" fillId="22" borderId="1" xfId="3" applyNumberFormat="1" applyFont="1" applyFill="1" applyBorder="1" applyAlignment="1" applyProtection="1">
      <alignment horizontal="right" vertical="center" wrapText="1" indent="1"/>
      <protection locked="0"/>
    </xf>
    <xf numFmtId="1" fontId="41" fillId="22" borderId="31" xfId="3" applyNumberFormat="1" applyFont="1" applyFill="1" applyBorder="1" applyAlignment="1" applyProtection="1">
      <alignment horizontal="right" vertical="center" wrapText="1" indent="1"/>
      <protection locked="0"/>
    </xf>
    <xf numFmtId="0" fontId="41" fillId="22" borderId="1" xfId="3" applyFont="1" applyFill="1" applyBorder="1" applyAlignment="1" applyProtection="1">
      <alignment horizontal="right" vertical="center" indent="1"/>
      <protection locked="0"/>
    </xf>
    <xf numFmtId="0" fontId="41" fillId="22" borderId="31" xfId="3" applyFont="1" applyFill="1" applyBorder="1" applyAlignment="1" applyProtection="1">
      <alignment horizontal="right" vertical="center" indent="1"/>
      <protection locked="0"/>
    </xf>
    <xf numFmtId="0" fontId="40" fillId="16" borderId="0" xfId="3" applyFont="1" applyFill="1" applyAlignment="1">
      <alignment horizontal="center" vertical="center" textRotation="90"/>
    </xf>
    <xf numFmtId="0" fontId="32" fillId="23" borderId="0" xfId="3" applyFill="1" applyAlignment="1">
      <alignment horizontal="right" vertical="center" indent="1"/>
    </xf>
    <xf numFmtId="0" fontId="44" fillId="24" borderId="1" xfId="3" applyFont="1" applyFill="1" applyBorder="1" applyAlignment="1">
      <alignment horizontal="left" vertical="center" wrapText="1" indent="1"/>
    </xf>
    <xf numFmtId="0" fontId="41" fillId="30" borderId="1" xfId="3" applyFont="1" applyFill="1" applyBorder="1" applyAlignment="1" applyProtection="1">
      <alignment horizontal="left" vertical="center" wrapText="1" indent="1"/>
      <protection locked="0"/>
    </xf>
    <xf numFmtId="0" fontId="41" fillId="31" borderId="1" xfId="3" applyFont="1" applyFill="1" applyBorder="1" applyAlignment="1" applyProtection="1">
      <alignment horizontal="center" vertical="center" wrapText="1"/>
      <protection locked="0"/>
    </xf>
    <xf numFmtId="1" fontId="41" fillId="31" borderId="1" xfId="3" applyNumberFormat="1" applyFont="1" applyFill="1" applyBorder="1" applyAlignment="1" applyProtection="1">
      <alignment horizontal="center" vertical="center" wrapText="1"/>
      <protection locked="0"/>
    </xf>
    <xf numFmtId="1" fontId="44" fillId="32" borderId="1" xfId="3" applyNumberFormat="1" applyFont="1" applyFill="1" applyBorder="1" applyAlignment="1">
      <alignment horizontal="center" vertical="center" wrapText="1"/>
    </xf>
    <xf numFmtId="1" fontId="44" fillId="32" borderId="31" xfId="3" applyNumberFormat="1" applyFont="1" applyFill="1" applyBorder="1" applyAlignment="1">
      <alignment horizontal="center" vertical="center" wrapText="1"/>
    </xf>
    <xf numFmtId="1" fontId="41" fillId="23" borderId="1" xfId="3" applyNumberFormat="1" applyFont="1" applyFill="1" applyBorder="1" applyAlignment="1">
      <alignment vertical="center" wrapText="1"/>
    </xf>
    <xf numFmtId="1" fontId="41" fillId="23" borderId="31" xfId="3" applyNumberFormat="1" applyFont="1" applyFill="1" applyBorder="1" applyAlignment="1">
      <alignment vertical="center" wrapText="1"/>
    </xf>
    <xf numFmtId="0" fontId="41" fillId="23" borderId="1" xfId="3" applyFont="1" applyFill="1" applyBorder="1" applyAlignment="1">
      <alignment vertical="center" wrapText="1"/>
    </xf>
    <xf numFmtId="0" fontId="32" fillId="0" borderId="1" xfId="3" applyBorder="1" applyAlignment="1">
      <alignment vertical="center"/>
    </xf>
    <xf numFmtId="0" fontId="32" fillId="0" borderId="31" xfId="3" applyBorder="1" applyAlignment="1">
      <alignment vertical="center"/>
    </xf>
    <xf numFmtId="0" fontId="40" fillId="18" borderId="48" xfId="3" applyFont="1" applyFill="1" applyBorder="1" applyAlignment="1">
      <alignment horizontal="center" vertical="center" textRotation="90"/>
    </xf>
    <xf numFmtId="0" fontId="35" fillId="0" borderId="0" xfId="3" applyFont="1" applyAlignment="1">
      <alignment horizontal="right" vertical="center" wrapText="1" indent="1"/>
    </xf>
    <xf numFmtId="0" fontId="32" fillId="0" borderId="0" xfId="3" applyAlignment="1">
      <alignment horizontal="right" vertical="center" wrapText="1" indent="1"/>
    </xf>
    <xf numFmtId="1" fontId="32" fillId="0" borderId="0" xfId="3" applyNumberFormat="1" applyAlignment="1">
      <alignment horizontal="right" vertical="center" wrapText="1" indent="1"/>
    </xf>
    <xf numFmtId="0" fontId="35" fillId="0" borderId="0" xfId="3" applyFont="1" applyAlignment="1">
      <alignment horizontal="center" wrapText="1"/>
    </xf>
    <xf numFmtId="0" fontId="32" fillId="0" borderId="0" xfId="3" applyAlignment="1">
      <alignment wrapText="1"/>
    </xf>
    <xf numFmtId="1" fontId="32" fillId="0" borderId="0" xfId="3" applyNumberFormat="1" applyAlignment="1">
      <alignment horizontal="right" wrapText="1"/>
    </xf>
    <xf numFmtId="0" fontId="32" fillId="34" borderId="0" xfId="3" applyFill="1"/>
    <xf numFmtId="0" fontId="32" fillId="34" borderId="0" xfId="3" applyFill="1" applyAlignment="1">
      <alignment vertical="center"/>
    </xf>
    <xf numFmtId="0" fontId="32" fillId="0" borderId="0" xfId="3" applyAlignment="1">
      <alignment vertical="center"/>
    </xf>
    <xf numFmtId="0" fontId="57" fillId="34" borderId="0" xfId="3" applyFont="1" applyFill="1"/>
    <xf numFmtId="0" fontId="57" fillId="34" borderId="0" xfId="3" applyFont="1" applyFill="1" applyAlignment="1">
      <alignment vertical="center"/>
    </xf>
    <xf numFmtId="0" fontId="58" fillId="34" borderId="0" xfId="3" applyFont="1" applyFill="1" applyAlignment="1">
      <alignment vertical="center"/>
    </xf>
    <xf numFmtId="0" fontId="58" fillId="0" borderId="1" xfId="3" applyFont="1" applyBorder="1" applyAlignment="1">
      <alignment horizontal="right" vertical="center" indent="1"/>
    </xf>
    <xf numFmtId="1" fontId="2" fillId="0" borderId="1" xfId="3" applyNumberFormat="1" applyFont="1" applyBorder="1" applyAlignment="1" applyProtection="1">
      <alignment horizontal="right" vertical="center" indent="2"/>
      <protection hidden="1"/>
    </xf>
    <xf numFmtId="0" fontId="58" fillId="0" borderId="1" xfId="3" applyFont="1" applyBorder="1" applyAlignment="1">
      <alignment horizontal="right" vertical="center" wrapText="1" indent="1"/>
    </xf>
    <xf numFmtId="0" fontId="2" fillId="0" borderId="1" xfId="3" applyFont="1" applyBorder="1" applyAlignment="1">
      <alignment horizontal="right" vertical="center" indent="2"/>
    </xf>
    <xf numFmtId="0" fontId="58" fillId="0" borderId="1" xfId="3" applyFont="1" applyBorder="1" applyAlignment="1">
      <alignment horizontal="right" vertical="center" indent="2"/>
    </xf>
    <xf numFmtId="0" fontId="58" fillId="0" borderId="0" xfId="3" applyFont="1"/>
    <xf numFmtId="0" fontId="56" fillId="0" borderId="0" xfId="3" applyFont="1" applyAlignment="1" applyProtection="1">
      <alignment horizontal="left"/>
      <protection hidden="1"/>
    </xf>
    <xf numFmtId="0" fontId="61" fillId="0" borderId="0" xfId="3" applyFont="1"/>
    <xf numFmtId="0" fontId="41" fillId="0" borderId="1" xfId="3" applyFont="1" applyBorder="1" applyAlignment="1">
      <alignment horizontal="center" vertical="center"/>
    </xf>
    <xf numFmtId="0" fontId="57" fillId="34" borderId="0" xfId="3" applyFont="1" applyFill="1" applyAlignment="1">
      <alignment horizontal="center" vertical="center"/>
    </xf>
    <xf numFmtId="0" fontId="41" fillId="34" borderId="0" xfId="3" applyFont="1" applyFill="1" applyAlignment="1">
      <alignment horizontal="center" vertical="center"/>
    </xf>
    <xf numFmtId="0" fontId="41" fillId="0" borderId="0" xfId="3" applyFont="1" applyAlignment="1">
      <alignment horizontal="center" vertical="center"/>
    </xf>
    <xf numFmtId="0" fontId="2" fillId="0" borderId="1" xfId="3" applyFont="1" applyBorder="1" applyAlignment="1">
      <alignment horizontal="center" vertical="center"/>
    </xf>
    <xf numFmtId="3" fontId="2" fillId="0" borderId="1" xfId="3" applyNumberFormat="1" applyFont="1" applyBorder="1" applyAlignment="1" applyProtection="1">
      <alignment horizontal="right" vertical="center" indent="1"/>
      <protection hidden="1"/>
    </xf>
    <xf numFmtId="0" fontId="58" fillId="0" borderId="51" xfId="3" applyFont="1" applyBorder="1" applyAlignment="1">
      <alignment vertical="center" wrapText="1"/>
    </xf>
    <xf numFmtId="3" fontId="2" fillId="0" borderId="1" xfId="3" applyNumberFormat="1" applyFont="1" applyBorder="1" applyAlignment="1" applyProtection="1">
      <alignment horizontal="right" vertical="center" indent="1" shrinkToFit="1"/>
      <protection hidden="1"/>
    </xf>
    <xf numFmtId="3" fontId="1" fillId="0" borderId="1" xfId="3" applyNumberFormat="1" applyFont="1" applyBorder="1" applyAlignment="1" applyProtection="1">
      <alignment horizontal="right" vertical="center" indent="1"/>
      <protection hidden="1"/>
    </xf>
    <xf numFmtId="0" fontId="58" fillId="0" borderId="0" xfId="3" applyFont="1" applyAlignment="1">
      <alignment horizontal="left" vertical="center" indent="1"/>
    </xf>
    <xf numFmtId="1" fontId="41" fillId="0" borderId="0" xfId="3" applyNumberFormat="1" applyFont="1" applyAlignment="1">
      <alignment horizontal="left" vertical="center" indent="1"/>
    </xf>
    <xf numFmtId="0" fontId="41" fillId="0" borderId="0" xfId="3" applyFont="1" applyAlignment="1">
      <alignment horizontal="left" vertical="center" indent="1"/>
    </xf>
    <xf numFmtId="0" fontId="32" fillId="0" borderId="0" xfId="3" applyAlignment="1">
      <alignment horizontal="left" vertical="center" indent="1"/>
    </xf>
    <xf numFmtId="49" fontId="56" fillId="0" borderId="17" xfId="3" applyNumberFormat="1" applyFont="1" applyBorder="1" applyAlignment="1">
      <alignment horizontal="center" vertical="center"/>
    </xf>
    <xf numFmtId="0" fontId="58" fillId="0" borderId="17" xfId="3" applyFont="1" applyBorder="1" applyAlignment="1">
      <alignment horizontal="center" vertical="center"/>
    </xf>
    <xf numFmtId="3" fontId="58" fillId="0" borderId="17" xfId="3" applyNumberFormat="1" applyFont="1" applyBorder="1" applyAlignment="1" applyProtection="1">
      <alignment horizontal="right" vertical="center" indent="1"/>
      <protection hidden="1"/>
    </xf>
    <xf numFmtId="0" fontId="58" fillId="0" borderId="52" xfId="3" applyFont="1" applyBorder="1" applyAlignment="1" applyProtection="1">
      <alignment horizontal="right" vertical="center" indent="1"/>
      <protection hidden="1"/>
    </xf>
    <xf numFmtId="0" fontId="58" fillId="0" borderId="17" xfId="3" applyFont="1" applyBorder="1" applyAlignment="1" applyProtection="1">
      <alignment horizontal="right" vertical="center" indent="1"/>
      <protection hidden="1"/>
    </xf>
    <xf numFmtId="0" fontId="58" fillId="0" borderId="52" xfId="3" applyFont="1" applyBorder="1" applyAlignment="1">
      <alignment horizontal="center" vertical="center"/>
    </xf>
    <xf numFmtId="3" fontId="58" fillId="0" borderId="52" xfId="3" applyNumberFormat="1" applyFont="1" applyBorder="1" applyAlignment="1" applyProtection="1">
      <alignment horizontal="right" vertical="center" indent="1"/>
      <protection hidden="1"/>
    </xf>
    <xf numFmtId="0" fontId="56" fillId="0" borderId="1" xfId="3" applyFont="1" applyBorder="1" applyAlignment="1">
      <alignment horizontal="right" vertical="center" indent="1"/>
    </xf>
    <xf numFmtId="3" fontId="56" fillId="0" borderId="1" xfId="3" applyNumberFormat="1" applyFont="1" applyBorder="1" applyAlignment="1" applyProtection="1">
      <alignment horizontal="right" vertical="center" indent="1"/>
      <protection hidden="1"/>
    </xf>
    <xf numFmtId="0" fontId="56" fillId="0" borderId="0" xfId="3" applyFont="1" applyAlignment="1">
      <alignment horizontal="right" vertical="center" indent="1"/>
    </xf>
    <xf numFmtId="3" fontId="56" fillId="0" borderId="0" xfId="3" applyNumberFormat="1" applyFont="1" applyAlignment="1" applyProtection="1">
      <alignment horizontal="right" vertical="center" indent="1"/>
      <protection hidden="1"/>
    </xf>
    <xf numFmtId="0" fontId="58" fillId="0" borderId="0" xfId="3" applyFont="1" applyAlignment="1">
      <alignment vertical="center"/>
    </xf>
    <xf numFmtId="0" fontId="62" fillId="0" borderId="0" xfId="3" applyFont="1" applyProtection="1">
      <protection hidden="1"/>
    </xf>
    <xf numFmtId="0" fontId="32" fillId="35" borderId="0" xfId="3" applyFill="1" applyAlignment="1">
      <alignment horizontal="right"/>
    </xf>
    <xf numFmtId="0" fontId="32" fillId="35" borderId="0" xfId="3" applyFill="1"/>
    <xf numFmtId="0" fontId="64" fillId="0" borderId="0" xfId="3" applyFont="1"/>
    <xf numFmtId="0" fontId="32" fillId="16" borderId="0" xfId="3" applyFill="1" applyAlignment="1">
      <alignment horizontal="right"/>
    </xf>
    <xf numFmtId="0" fontId="32" fillId="16" borderId="0" xfId="3" applyFill="1" applyAlignment="1">
      <alignment horizontal="right" wrapText="1"/>
    </xf>
    <xf numFmtId="1" fontId="32" fillId="16" borderId="0" xfId="3" applyNumberFormat="1" applyFill="1" applyAlignment="1">
      <alignment horizontal="right" wrapText="1"/>
    </xf>
    <xf numFmtId="0" fontId="30" fillId="18" borderId="1" xfId="3" applyFont="1" applyFill="1" applyBorder="1" applyAlignment="1">
      <alignment horizontal="center" vertical="center"/>
    </xf>
    <xf numFmtId="0" fontId="31" fillId="18" borderId="1" xfId="3" applyFont="1" applyFill="1" applyBorder="1" applyAlignment="1">
      <alignment horizontal="center" vertical="center"/>
    </xf>
    <xf numFmtId="0" fontId="69" fillId="3" borderId="53" xfId="3" applyFont="1" applyFill="1" applyBorder="1" applyAlignment="1">
      <alignment vertical="center"/>
    </xf>
    <xf numFmtId="0" fontId="69" fillId="3" borderId="53" xfId="3" applyFont="1" applyFill="1" applyBorder="1" applyAlignment="1">
      <alignment horizontal="left" vertical="center"/>
    </xf>
    <xf numFmtId="0" fontId="69" fillId="3" borderId="55" xfId="3" applyFont="1" applyFill="1" applyBorder="1" applyAlignment="1">
      <alignment vertical="center"/>
    </xf>
    <xf numFmtId="9" fontId="69" fillId="3" borderId="55" xfId="3" applyNumberFormat="1" applyFont="1" applyFill="1" applyBorder="1" applyAlignment="1">
      <alignment horizontal="left" vertical="center"/>
    </xf>
    <xf numFmtId="0" fontId="69" fillId="3" borderId="55" xfId="3" applyFont="1" applyFill="1" applyBorder="1" applyAlignment="1">
      <alignment horizontal="left" vertical="center" wrapText="1"/>
    </xf>
    <xf numFmtId="0" fontId="69" fillId="3" borderId="55" xfId="3" applyFont="1" applyFill="1" applyBorder="1" applyAlignment="1">
      <alignment vertical="center" wrapText="1"/>
    </xf>
    <xf numFmtId="0" fontId="69" fillId="3" borderId="57" xfId="3" applyFont="1" applyFill="1" applyBorder="1" applyAlignment="1">
      <alignment vertical="center"/>
    </xf>
    <xf numFmtId="0" fontId="69" fillId="3" borderId="57" xfId="3" applyFont="1" applyFill="1" applyBorder="1" applyAlignment="1">
      <alignment horizontal="left" vertical="center" wrapText="1"/>
    </xf>
    <xf numFmtId="0" fontId="69" fillId="3" borderId="57" xfId="3" applyFont="1" applyFill="1" applyBorder="1" applyAlignment="1">
      <alignment vertical="center" wrapText="1"/>
    </xf>
    <xf numFmtId="0" fontId="69" fillId="3" borderId="59" xfId="3" applyFont="1" applyFill="1" applyBorder="1" applyAlignment="1">
      <alignment vertical="center"/>
    </xf>
    <xf numFmtId="0" fontId="69" fillId="3" borderId="60" xfId="3" applyFont="1" applyFill="1" applyBorder="1" applyAlignment="1">
      <alignment vertical="center"/>
    </xf>
    <xf numFmtId="0" fontId="69" fillId="3" borderId="61" xfId="3" applyFont="1" applyFill="1" applyBorder="1" applyAlignment="1">
      <alignment vertical="center"/>
    </xf>
    <xf numFmtId="0" fontId="32" fillId="0" borderId="8" xfId="3" applyBorder="1"/>
    <xf numFmtId="0" fontId="69" fillId="3" borderId="62" xfId="3" applyFont="1" applyFill="1" applyBorder="1" applyAlignment="1">
      <alignment horizontal="left" vertical="center"/>
    </xf>
    <xf numFmtId="0" fontId="69" fillId="3" borderId="62" xfId="3" applyFont="1" applyFill="1" applyBorder="1" applyAlignment="1">
      <alignment vertical="center"/>
    </xf>
    <xf numFmtId="9" fontId="69" fillId="3" borderId="55" xfId="3" applyNumberFormat="1" applyFont="1" applyFill="1" applyBorder="1" applyAlignment="1">
      <alignment vertical="center"/>
    </xf>
    <xf numFmtId="0" fontId="70" fillId="3" borderId="62" xfId="3" applyFont="1" applyFill="1" applyBorder="1" applyAlignment="1">
      <alignment horizontal="left"/>
    </xf>
    <xf numFmtId="0" fontId="70" fillId="3" borderId="62" xfId="3" applyFont="1" applyFill="1" applyBorder="1"/>
    <xf numFmtId="0" fontId="70" fillId="3" borderId="71" xfId="3" applyFont="1" applyFill="1" applyBorder="1"/>
    <xf numFmtId="0" fontId="71" fillId="3" borderId="55" xfId="3" applyFont="1" applyFill="1" applyBorder="1" applyAlignment="1">
      <alignment vertical="center"/>
    </xf>
    <xf numFmtId="0" fontId="71" fillId="3" borderId="55" xfId="3" applyFont="1" applyFill="1" applyBorder="1" applyAlignment="1">
      <alignment horizontal="left" vertical="center"/>
    </xf>
    <xf numFmtId="0" fontId="71" fillId="3" borderId="72" xfId="3" applyFont="1" applyFill="1" applyBorder="1" applyAlignment="1">
      <alignment horizontal="left" vertical="center"/>
    </xf>
    <xf numFmtId="9" fontId="71" fillId="3" borderId="55" xfId="3" applyNumberFormat="1" applyFont="1" applyFill="1" applyBorder="1" applyAlignment="1">
      <alignment horizontal="left" vertical="center"/>
    </xf>
    <xf numFmtId="9" fontId="71" fillId="3" borderId="72" xfId="3" applyNumberFormat="1" applyFont="1" applyFill="1" applyBorder="1" applyAlignment="1">
      <alignment horizontal="left" vertical="center"/>
    </xf>
    <xf numFmtId="0" fontId="71" fillId="3" borderId="57" xfId="3" applyFont="1" applyFill="1" applyBorder="1" applyAlignment="1">
      <alignment horizontal="left" vertical="center"/>
    </xf>
    <xf numFmtId="9" fontId="71" fillId="3" borderId="57" xfId="3" applyNumberFormat="1" applyFont="1" applyFill="1" applyBorder="1" applyAlignment="1">
      <alignment horizontal="left" vertical="center"/>
    </xf>
    <xf numFmtId="9" fontId="71" fillId="3" borderId="73" xfId="3" applyNumberFormat="1" applyFont="1" applyFill="1" applyBorder="1" applyAlignment="1">
      <alignment horizontal="left" vertical="center"/>
    </xf>
    <xf numFmtId="0" fontId="32" fillId="0" borderId="6" xfId="3" applyBorder="1"/>
    <xf numFmtId="0" fontId="72" fillId="0" borderId="17" xfId="3" applyFont="1" applyBorder="1" applyAlignment="1">
      <alignment horizontal="center" vertical="top" wrapText="1"/>
    </xf>
    <xf numFmtId="0" fontId="72" fillId="0" borderId="17" xfId="3" applyFont="1" applyBorder="1" applyAlignment="1">
      <alignment horizontal="left" vertical="top" wrapText="1"/>
    </xf>
    <xf numFmtId="0" fontId="75" fillId="3" borderId="62" xfId="3" applyFont="1" applyFill="1" applyBorder="1" applyAlignment="1">
      <alignment horizontal="left"/>
    </xf>
    <xf numFmtId="0" fontId="75" fillId="3" borderId="62" xfId="3" applyFont="1" applyFill="1" applyBorder="1"/>
    <xf numFmtId="0" fontId="75" fillId="3" borderId="71" xfId="3" applyFont="1" applyFill="1" applyBorder="1"/>
    <xf numFmtId="0" fontId="76" fillId="3" borderId="55" xfId="3" applyFont="1" applyFill="1" applyBorder="1" applyAlignment="1">
      <alignment horizontal="left" vertical="center"/>
    </xf>
    <xf numFmtId="0" fontId="76" fillId="3" borderId="72" xfId="3" applyFont="1" applyFill="1" applyBorder="1" applyAlignment="1">
      <alignment horizontal="left" vertical="center"/>
    </xf>
    <xf numFmtId="9" fontId="76" fillId="3" borderId="55" xfId="3" applyNumberFormat="1" applyFont="1" applyFill="1" applyBorder="1" applyAlignment="1">
      <alignment horizontal="left" vertical="center"/>
    </xf>
    <xf numFmtId="9" fontId="76" fillId="3" borderId="72" xfId="3" applyNumberFormat="1" applyFont="1" applyFill="1" applyBorder="1" applyAlignment="1">
      <alignment horizontal="left" vertical="center"/>
    </xf>
    <xf numFmtId="0" fontId="76" fillId="3" borderId="57" xfId="3" quotePrefix="1" applyFont="1" applyFill="1" applyBorder="1" applyAlignment="1">
      <alignment horizontal="left" vertical="center"/>
    </xf>
    <xf numFmtId="9" fontId="76" fillId="3" borderId="57" xfId="3" applyNumberFormat="1" applyFont="1" applyFill="1" applyBorder="1" applyAlignment="1">
      <alignment horizontal="left" vertical="center"/>
    </xf>
    <xf numFmtId="9" fontId="76" fillId="3" borderId="73" xfId="3" applyNumberFormat="1" applyFont="1" applyFill="1" applyBorder="1" applyAlignment="1">
      <alignment horizontal="left" vertical="center"/>
    </xf>
    <xf numFmtId="0" fontId="76" fillId="3" borderId="76" xfId="3" applyFont="1" applyFill="1" applyBorder="1" applyAlignment="1">
      <alignment vertical="center"/>
    </xf>
    <xf numFmtId="0" fontId="76" fillId="3" borderId="76" xfId="3" applyFont="1" applyFill="1" applyBorder="1" applyAlignment="1">
      <alignment horizontal="left" vertical="center"/>
    </xf>
    <xf numFmtId="0" fontId="76" fillId="3" borderId="77" xfId="3" applyFont="1" applyFill="1" applyBorder="1" applyAlignment="1">
      <alignment horizontal="left" vertical="center"/>
    </xf>
    <xf numFmtId="0" fontId="32" fillId="0" borderId="1" xfId="3" applyBorder="1"/>
    <xf numFmtId="0" fontId="32" fillId="35" borderId="1" xfId="3" applyFill="1" applyBorder="1" applyAlignment="1">
      <alignment horizontal="right"/>
    </xf>
    <xf numFmtId="0" fontId="32" fillId="0" borderId="1" xfId="3" applyBorder="1" applyAlignment="1">
      <alignment wrapText="1"/>
    </xf>
    <xf numFmtId="0" fontId="64" fillId="0" borderId="1" xfId="3" applyFont="1" applyBorder="1"/>
    <xf numFmtId="1" fontId="32" fillId="0" borderId="1" xfId="3" applyNumberFormat="1" applyBorder="1" applyAlignment="1">
      <alignment horizontal="right" wrapText="1"/>
    </xf>
    <xf numFmtId="0" fontId="64" fillId="0" borderId="1" xfId="3" applyFont="1" applyBorder="1" applyAlignment="1">
      <alignment wrapText="1"/>
    </xf>
    <xf numFmtId="1" fontId="64" fillId="0" borderId="1" xfId="3" applyNumberFormat="1" applyFont="1" applyBorder="1" applyAlignment="1">
      <alignment horizontal="right" wrapText="1"/>
    </xf>
    <xf numFmtId="171" fontId="23" fillId="19" borderId="1" xfId="0" applyNumberFormat="1" applyFont="1" applyFill="1" applyBorder="1"/>
    <xf numFmtId="9" fontId="5" fillId="5" borderId="1" xfId="0" applyNumberFormat="1" applyFont="1" applyFill="1" applyBorder="1" applyAlignment="1" applyProtection="1">
      <alignment vertical="center"/>
      <protection locked="0"/>
    </xf>
    <xf numFmtId="1" fontId="41" fillId="0" borderId="1" xfId="3" applyNumberFormat="1" applyFont="1" applyBorder="1" applyAlignment="1">
      <alignment horizontal="right" vertical="center" wrapText="1" indent="1"/>
    </xf>
    <xf numFmtId="0" fontId="78" fillId="0" borderId="1" xfId="0" applyFont="1" applyBorder="1" applyAlignment="1">
      <alignment vertical="top"/>
    </xf>
    <xf numFmtId="0" fontId="78" fillId="0" borderId="1" xfId="0" applyFont="1" applyBorder="1" applyAlignment="1">
      <alignment horizontal="left" vertical="top"/>
    </xf>
    <xf numFmtId="171" fontId="23" fillId="0" borderId="1" xfId="0" applyNumberFormat="1" applyFont="1" applyBorder="1" applyAlignment="1">
      <alignment horizontal="right"/>
    </xf>
    <xf numFmtId="0" fontId="81" fillId="37" borderId="0" xfId="0" applyFont="1" applyFill="1" applyAlignment="1" applyProtection="1">
      <alignment vertical="center"/>
      <protection locked="0"/>
    </xf>
    <xf numFmtId="0" fontId="84" fillId="0" borderId="0" xfId="0" applyFont="1"/>
    <xf numFmtId="0" fontId="82" fillId="0" borderId="0" xfId="0" applyFont="1"/>
    <xf numFmtId="0" fontId="12" fillId="14" borderId="3" xfId="0" applyFont="1" applyFill="1" applyBorder="1" applyAlignment="1" applyProtection="1">
      <alignment horizontal="left" vertical="center" wrapText="1"/>
      <protection locked="0"/>
    </xf>
    <xf numFmtId="0" fontId="12" fillId="14" borderId="8" xfId="0" applyFont="1" applyFill="1" applyBorder="1" applyAlignment="1" applyProtection="1">
      <alignment horizontal="left" vertical="center" wrapText="1"/>
      <protection locked="0"/>
    </xf>
    <xf numFmtId="0" fontId="12" fillId="14" borderId="4" xfId="0" applyFont="1" applyFill="1" applyBorder="1" applyAlignment="1" applyProtection="1">
      <alignment horizontal="left" vertical="center" wrapText="1"/>
      <protection locked="0"/>
    </xf>
    <xf numFmtId="0" fontId="14" fillId="7" borderId="3" xfId="0" applyFont="1" applyFill="1" applyBorder="1" applyAlignment="1">
      <alignment horizontal="right" vertical="center" wrapText="1"/>
    </xf>
    <xf numFmtId="0" fontId="14" fillId="7" borderId="8" xfId="0" applyFont="1" applyFill="1" applyBorder="1" applyAlignment="1">
      <alignment horizontal="right" vertical="center" wrapText="1"/>
    </xf>
    <xf numFmtId="0" fontId="14" fillId="7" borderId="4" xfId="0" applyFont="1" applyFill="1" applyBorder="1" applyAlignment="1">
      <alignment horizontal="right" vertical="center" wrapText="1"/>
    </xf>
    <xf numFmtId="0" fontId="11" fillId="7" borderId="3"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2" fillId="7" borderId="3" xfId="0" applyFont="1" applyFill="1" applyBorder="1" applyAlignment="1">
      <alignment horizontal="left" vertical="center"/>
    </xf>
    <xf numFmtId="0" fontId="12" fillId="7" borderId="8" xfId="0" applyFont="1" applyFill="1" applyBorder="1" applyAlignment="1">
      <alignment horizontal="left" vertical="center"/>
    </xf>
    <xf numFmtId="0" fontId="12" fillId="7" borderId="4" xfId="0" applyFont="1" applyFill="1" applyBorder="1" applyAlignment="1">
      <alignment horizontal="left" vertical="center"/>
    </xf>
    <xf numFmtId="0" fontId="14" fillId="9" borderId="3" xfId="0" applyFont="1" applyFill="1" applyBorder="1" applyAlignment="1">
      <alignment horizontal="left" vertical="center"/>
    </xf>
    <xf numFmtId="0" fontId="14" fillId="9" borderId="8" xfId="0" applyFont="1" applyFill="1" applyBorder="1" applyAlignment="1">
      <alignment horizontal="left" vertical="center"/>
    </xf>
    <xf numFmtId="0" fontId="14" fillId="9" borderId="4" xfId="0" applyFont="1" applyFill="1" applyBorder="1" applyAlignment="1">
      <alignment horizontal="left" vertical="center"/>
    </xf>
    <xf numFmtId="0" fontId="14" fillId="7" borderId="0" xfId="0" applyFont="1" applyFill="1" applyAlignment="1">
      <alignment horizontal="left" vertical="center"/>
    </xf>
    <xf numFmtId="0" fontId="14" fillId="7" borderId="3" xfId="0" applyFont="1" applyFill="1" applyBorder="1" applyAlignment="1">
      <alignment horizontal="right" vertical="center"/>
    </xf>
    <xf numFmtId="0" fontId="14" fillId="7" borderId="8" xfId="0" applyFont="1" applyFill="1" applyBorder="1" applyAlignment="1">
      <alignment horizontal="right" vertical="center"/>
    </xf>
    <xf numFmtId="0" fontId="14" fillId="7" borderId="4" xfId="0" applyFont="1" applyFill="1" applyBorder="1" applyAlignment="1">
      <alignment horizontal="right" vertical="center"/>
    </xf>
    <xf numFmtId="49" fontId="11" fillId="13" borderId="3" xfId="0" applyNumberFormat="1" applyFont="1" applyFill="1" applyBorder="1" applyAlignment="1" applyProtection="1">
      <alignment horizontal="left" vertical="center" wrapText="1"/>
      <protection locked="0"/>
    </xf>
    <xf numFmtId="49" fontId="11" fillId="13" borderId="8" xfId="0" applyNumberFormat="1" applyFont="1" applyFill="1" applyBorder="1" applyAlignment="1" applyProtection="1">
      <alignment horizontal="left" vertical="center" wrapText="1"/>
      <protection locked="0"/>
    </xf>
    <xf numFmtId="49" fontId="11" fillId="13" borderId="4" xfId="0" applyNumberFormat="1" applyFont="1" applyFill="1" applyBorder="1" applyAlignment="1" applyProtection="1">
      <alignment horizontal="left" vertical="center" wrapText="1"/>
      <protection locked="0"/>
    </xf>
    <xf numFmtId="0" fontId="12" fillId="7" borderId="3" xfId="0" applyFont="1" applyFill="1" applyBorder="1" applyAlignment="1">
      <alignment horizontal="left"/>
    </xf>
    <xf numFmtId="0" fontId="12" fillId="7" borderId="8" xfId="0" applyFont="1" applyFill="1" applyBorder="1" applyAlignment="1">
      <alignment horizontal="left"/>
    </xf>
    <xf numFmtId="0" fontId="12" fillId="7" borderId="4" xfId="0" applyFont="1" applyFill="1" applyBorder="1" applyAlignment="1">
      <alignment horizontal="left"/>
    </xf>
    <xf numFmtId="0" fontId="14" fillId="9" borderId="1" xfId="0" applyFont="1" applyFill="1" applyBorder="1" applyAlignment="1">
      <alignment horizontal="left" vertical="center"/>
    </xf>
    <xf numFmtId="0" fontId="14" fillId="9"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vertical="justify"/>
    </xf>
    <xf numFmtId="0" fontId="15" fillId="6" borderId="0" xfId="0" applyFont="1" applyFill="1" applyAlignment="1">
      <alignment horizontal="center" vertical="center" wrapText="1"/>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4" borderId="0" xfId="0" applyFont="1" applyFill="1" applyAlignment="1">
      <alignment horizontal="center"/>
    </xf>
    <xf numFmtId="0" fontId="4" fillId="0" borderId="1" xfId="0" applyFont="1" applyBorder="1" applyAlignment="1">
      <alignment horizontal="center" vertical="center"/>
    </xf>
    <xf numFmtId="0" fontId="53" fillId="28" borderId="0" xfId="3" applyFont="1" applyFill="1" applyAlignment="1">
      <alignment horizontal="center" vertical="center" wrapText="1"/>
    </xf>
    <xf numFmtId="0" fontId="23" fillId="0" borderId="1" xfId="0" applyFont="1" applyBorder="1" applyAlignment="1">
      <alignment horizontal="center" vertical="top"/>
    </xf>
    <xf numFmtId="0" fontId="23" fillId="0" borderId="2" xfId="0" applyFont="1" applyBorder="1" applyAlignment="1">
      <alignment horizontal="center" vertical="top"/>
    </xf>
    <xf numFmtId="0" fontId="23" fillId="0" borderId="5" xfId="0" applyFont="1" applyBorder="1" applyAlignment="1">
      <alignment horizontal="center" vertical="top"/>
    </xf>
    <xf numFmtId="0" fontId="23" fillId="0" borderId="7" xfId="0" applyFont="1" applyBorder="1" applyAlignment="1">
      <alignment horizontal="center" vertical="top"/>
    </xf>
    <xf numFmtId="0" fontId="23" fillId="0" borderId="3" xfId="0" applyFont="1" applyBorder="1" applyAlignment="1">
      <alignment horizontal="center"/>
    </xf>
    <xf numFmtId="0" fontId="23" fillId="0" borderId="4" xfId="0" applyFont="1" applyBorder="1" applyAlignment="1">
      <alignment horizontal="center"/>
    </xf>
    <xf numFmtId="171" fontId="23" fillId="0" borderId="3" xfId="0" applyNumberFormat="1" applyFont="1" applyBorder="1" applyAlignment="1">
      <alignment horizontal="center"/>
    </xf>
    <xf numFmtId="171" fontId="23" fillId="0" borderId="4" xfId="0" applyNumberFormat="1" applyFont="1" applyBorder="1" applyAlignment="1">
      <alignment horizontal="center"/>
    </xf>
    <xf numFmtId="167" fontId="23" fillId="5" borderId="3" xfId="0" applyNumberFormat="1" applyFont="1" applyFill="1" applyBorder="1" applyAlignment="1" applyProtection="1">
      <alignment horizontal="center" vertical="center"/>
      <protection locked="0"/>
    </xf>
    <xf numFmtId="167" fontId="23" fillId="5" borderId="4" xfId="0" applyNumberFormat="1" applyFont="1" applyFill="1" applyBorder="1" applyAlignment="1" applyProtection="1">
      <alignment horizontal="center" vertical="center"/>
      <protection locked="0"/>
    </xf>
    <xf numFmtId="0" fontId="23" fillId="0" borderId="1" xfId="0" applyFont="1" applyBorder="1" applyAlignment="1">
      <alignment horizontal="left" wrapText="1"/>
    </xf>
    <xf numFmtId="0" fontId="24" fillId="0" borderId="3" xfId="0" applyFont="1" applyBorder="1" applyAlignment="1">
      <alignment horizontal="left" vertical="top"/>
    </xf>
    <xf numFmtId="0" fontId="24" fillId="0" borderId="8" xfId="0" applyFont="1" applyBorder="1" applyAlignment="1">
      <alignment horizontal="left" vertical="top"/>
    </xf>
    <xf numFmtId="0" fontId="24" fillId="0" borderId="4" xfId="0" applyFont="1" applyBorder="1" applyAlignment="1">
      <alignment horizontal="left" vertical="top"/>
    </xf>
    <xf numFmtId="0" fontId="23" fillId="3" borderId="2" xfId="0" applyFont="1" applyFill="1" applyBorder="1" applyAlignment="1">
      <alignment horizontal="center"/>
    </xf>
    <xf numFmtId="0" fontId="23" fillId="3" borderId="5" xfId="0" applyFont="1" applyFill="1" applyBorder="1" applyAlignment="1">
      <alignment horizontal="center"/>
    </xf>
    <xf numFmtId="0" fontId="23" fillId="3" borderId="7" xfId="0" applyFont="1" applyFill="1" applyBorder="1" applyAlignment="1">
      <alignment horizontal="center"/>
    </xf>
    <xf numFmtId="0" fontId="23" fillId="0" borderId="3" xfId="0" applyFont="1" applyBorder="1" applyAlignment="1">
      <alignment horizontal="left"/>
    </xf>
    <xf numFmtId="0" fontId="23" fillId="0" borderId="8" xfId="0" applyFont="1" applyBorder="1" applyAlignment="1">
      <alignment horizontal="left"/>
    </xf>
    <xf numFmtId="0" fontId="23" fillId="0" borderId="4" xfId="0" applyFont="1" applyBorder="1" applyAlignment="1">
      <alignment horizontal="left"/>
    </xf>
    <xf numFmtId="0" fontId="23" fillId="0" borderId="1" xfId="0" applyFont="1" applyBorder="1" applyAlignment="1">
      <alignment horizontal="right"/>
    </xf>
    <xf numFmtId="0" fontId="23" fillId="0" borderId="1" xfId="0" applyFont="1" applyBorder="1" applyAlignment="1">
      <alignment horizontal="left"/>
    </xf>
    <xf numFmtId="0" fontId="26" fillId="3" borderId="1" xfId="0" applyFont="1" applyFill="1" applyBorder="1" applyAlignment="1">
      <alignment horizontal="center" vertical="top"/>
    </xf>
    <xf numFmtId="0" fontId="24" fillId="0" borderId="1" xfId="0" applyFont="1" applyBorder="1" applyAlignment="1">
      <alignment horizontal="left" vertical="top" wrapText="1"/>
    </xf>
    <xf numFmtId="0" fontId="25" fillId="3" borderId="1" xfId="0" applyFont="1" applyFill="1" applyBorder="1" applyAlignment="1">
      <alignment horizontal="center" vertical="center"/>
    </xf>
    <xf numFmtId="0" fontId="25" fillId="3" borderId="1" xfId="0" applyFont="1" applyFill="1" applyBorder="1" applyAlignment="1">
      <alignment horizontal="center"/>
    </xf>
    <xf numFmtId="9" fontId="26" fillId="3" borderId="1" xfId="0" applyNumberFormat="1" applyFont="1" applyFill="1" applyBorder="1" applyAlignment="1">
      <alignment horizontal="center" vertical="top"/>
    </xf>
    <xf numFmtId="0" fontId="23" fillId="0" borderId="1" xfId="0" applyFont="1" applyBorder="1" applyAlignment="1">
      <alignment horizontal="center"/>
    </xf>
    <xf numFmtId="9" fontId="26" fillId="3" borderId="3" xfId="0" applyNumberFormat="1" applyFont="1" applyFill="1" applyBorder="1" applyAlignment="1">
      <alignment horizontal="center" vertical="top"/>
    </xf>
    <xf numFmtId="0" fontId="26" fillId="3" borderId="4" xfId="0" applyFont="1" applyFill="1" applyBorder="1" applyAlignment="1">
      <alignment horizontal="center" vertical="top"/>
    </xf>
    <xf numFmtId="0" fontId="21" fillId="0" borderId="1" xfId="0" applyFont="1" applyBorder="1" applyAlignment="1">
      <alignment horizontal="left" vertical="top"/>
    </xf>
    <xf numFmtId="0" fontId="21" fillId="3" borderId="1" xfId="0" applyFont="1" applyFill="1" applyBorder="1" applyAlignment="1">
      <alignment horizontal="center"/>
    </xf>
    <xf numFmtId="0" fontId="21" fillId="0" borderId="3" xfId="0" applyFont="1" applyBorder="1" applyAlignment="1">
      <alignment horizontal="left"/>
    </xf>
    <xf numFmtId="0" fontId="21" fillId="0" borderId="8" xfId="0" applyFont="1" applyBorder="1" applyAlignment="1">
      <alignment horizontal="left"/>
    </xf>
    <xf numFmtId="0" fontId="21" fillId="0" borderId="4" xfId="0" applyFont="1" applyBorder="1" applyAlignment="1">
      <alignment horizontal="left"/>
    </xf>
    <xf numFmtId="9" fontId="78" fillId="3" borderId="1" xfId="0" applyNumberFormat="1" applyFont="1" applyFill="1" applyBorder="1" applyAlignment="1">
      <alignment horizontal="center" vertical="top"/>
    </xf>
    <xf numFmtId="0" fontId="78" fillId="3" borderId="1" xfId="0" applyFont="1" applyFill="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left" wrapText="1"/>
    </xf>
    <xf numFmtId="0" fontId="21" fillId="0" borderId="1" xfId="0" applyFont="1" applyBorder="1" applyAlignment="1">
      <alignment horizontal="left"/>
    </xf>
    <xf numFmtId="167" fontId="23" fillId="3" borderId="1" xfId="0" applyNumberFormat="1" applyFont="1" applyFill="1" applyBorder="1" applyAlignment="1">
      <alignment horizontal="center"/>
    </xf>
    <xf numFmtId="0" fontId="23" fillId="0" borderId="1" xfId="0" applyFont="1" applyBorder="1" applyAlignment="1">
      <alignment horizontal="left" vertical="center"/>
    </xf>
    <xf numFmtId="0" fontId="20" fillId="0" borderId="1" xfId="0" applyFont="1" applyBorder="1" applyAlignment="1">
      <alignment horizontal="right" vertical="center"/>
    </xf>
    <xf numFmtId="0" fontId="23" fillId="0" borderId="1" xfId="0" applyFont="1" applyBorder="1" applyAlignment="1">
      <alignment horizontal="left" vertical="center" wrapText="1"/>
    </xf>
    <xf numFmtId="0" fontId="23" fillId="3" borderId="1" xfId="0" applyFont="1" applyFill="1" applyBorder="1" applyAlignment="1">
      <alignment horizontal="right" vertical="center"/>
    </xf>
    <xf numFmtId="0" fontId="24" fillId="3" borderId="1" xfId="0" applyFont="1" applyFill="1" applyBorder="1" applyAlignment="1">
      <alignment horizontal="left" vertical="center"/>
    </xf>
    <xf numFmtId="0" fontId="27" fillId="0" borderId="1" xfId="0" applyFont="1" applyBorder="1" applyAlignment="1">
      <alignment horizontal="left" vertical="center"/>
    </xf>
    <xf numFmtId="0" fontId="21" fillId="14" borderId="0" xfId="0" applyFont="1" applyFill="1" applyAlignment="1" applyProtection="1">
      <alignment horizontal="left" vertical="top" wrapText="1"/>
      <protection locked="0"/>
    </xf>
    <xf numFmtId="0" fontId="23" fillId="0" borderId="1" xfId="0" applyFont="1" applyBorder="1" applyAlignment="1">
      <alignment horizontal="left" vertical="top" wrapText="1"/>
    </xf>
    <xf numFmtId="0" fontId="24" fillId="3" borderId="3" xfId="0" applyFont="1" applyFill="1" applyBorder="1" applyAlignment="1">
      <alignment horizontal="right" vertical="center"/>
    </xf>
    <xf numFmtId="0" fontId="24" fillId="3" borderId="8" xfId="0" applyFont="1" applyFill="1" applyBorder="1" applyAlignment="1">
      <alignment horizontal="right" vertical="center"/>
    </xf>
    <xf numFmtId="0" fontId="24" fillId="3" borderId="4" xfId="0" applyFont="1" applyFill="1" applyBorder="1" applyAlignment="1">
      <alignment horizontal="right" vertical="center"/>
    </xf>
    <xf numFmtId="0" fontId="21" fillId="0" borderId="0" xfId="0" applyFont="1" applyAlignment="1">
      <alignment horizontal="left" vertical="center" wrapText="1"/>
    </xf>
    <xf numFmtId="168" fontId="21" fillId="0" borderId="0" xfId="0" applyNumberFormat="1" applyFont="1" applyAlignment="1">
      <alignment horizontal="left" vertical="center" wrapText="1"/>
    </xf>
    <xf numFmtId="2" fontId="23" fillId="3" borderId="2" xfId="1" applyNumberFormat="1" applyFont="1" applyFill="1" applyBorder="1" applyAlignment="1" applyProtection="1">
      <alignment horizontal="center" vertical="center"/>
    </xf>
    <xf numFmtId="2" fontId="23" fillId="3" borderId="7" xfId="1" applyNumberFormat="1" applyFont="1" applyFill="1" applyBorder="1" applyAlignment="1" applyProtection="1">
      <alignment horizontal="center" vertical="center"/>
    </xf>
    <xf numFmtId="0" fontId="23" fillId="3" borderId="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7" xfId="0" applyFont="1" applyFill="1" applyBorder="1" applyAlignment="1">
      <alignment horizontal="center" vertical="center"/>
    </xf>
    <xf numFmtId="49" fontId="20" fillId="0" borderId="0" xfId="0" applyNumberFormat="1" applyFont="1" applyAlignment="1">
      <alignment horizontal="left" vertical="center"/>
    </xf>
    <xf numFmtId="0" fontId="23" fillId="0" borderId="1" xfId="0" applyFont="1" applyBorder="1" applyAlignment="1">
      <alignment horizontal="left" vertical="top"/>
    </xf>
    <xf numFmtId="49" fontId="20" fillId="0" borderId="0" xfId="0" applyNumberFormat="1" applyFont="1" applyAlignment="1">
      <alignment horizontal="center" vertical="center" wrapText="1"/>
    </xf>
    <xf numFmtId="0" fontId="21" fillId="0" borderId="0" xfId="0" applyFont="1" applyAlignment="1">
      <alignment horizontal="center" vertical="center" wrapText="1"/>
    </xf>
    <xf numFmtId="171" fontId="21" fillId="3" borderId="2" xfId="0" applyNumberFormat="1" applyFont="1" applyFill="1" applyBorder="1" applyAlignment="1">
      <alignment horizontal="center" vertical="center"/>
    </xf>
    <xf numFmtId="171" fontId="21" fillId="3" borderId="5" xfId="0" applyNumberFormat="1" applyFont="1" applyFill="1" applyBorder="1" applyAlignment="1">
      <alignment horizontal="center" vertical="center"/>
    </xf>
    <xf numFmtId="171" fontId="21" fillId="3" borderId="7" xfId="0" applyNumberFormat="1" applyFont="1" applyFill="1" applyBorder="1" applyAlignment="1">
      <alignment horizontal="center" vertical="center"/>
    </xf>
    <xf numFmtId="0" fontId="20" fillId="14" borderId="0" xfId="0" applyFont="1" applyFill="1" applyAlignment="1" applyProtection="1">
      <alignment horizontal="center"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169" fontId="21" fillId="0" borderId="0" xfId="0" applyNumberFormat="1" applyFont="1" applyAlignment="1">
      <alignment horizontal="left" vertical="center"/>
    </xf>
    <xf numFmtId="169" fontId="21" fillId="0" borderId="11" xfId="0" applyNumberFormat="1" applyFont="1" applyBorder="1" applyAlignment="1">
      <alignment horizontal="left" vertical="center"/>
    </xf>
    <xf numFmtId="0" fontId="24" fillId="3" borderId="1" xfId="0" applyFont="1" applyFill="1" applyBorder="1" applyAlignment="1">
      <alignment horizontal="left" vertical="top"/>
    </xf>
    <xf numFmtId="4" fontId="23" fillId="3" borderId="14" xfId="0" applyNumberFormat="1" applyFont="1" applyFill="1" applyBorder="1" applyAlignment="1">
      <alignment horizontal="center"/>
    </xf>
    <xf numFmtId="4" fontId="23" fillId="3" borderId="6" xfId="0" applyNumberFormat="1" applyFont="1" applyFill="1" applyBorder="1" applyAlignment="1">
      <alignment horizontal="center"/>
    </xf>
    <xf numFmtId="4" fontId="23" fillId="3" borderId="9" xfId="0" applyNumberFormat="1" applyFont="1" applyFill="1" applyBorder="1" applyAlignment="1">
      <alignment horizontal="center"/>
    </xf>
    <xf numFmtId="4" fontId="23" fillId="3" borderId="13" xfId="0" applyNumberFormat="1" applyFont="1" applyFill="1" applyBorder="1" applyAlignment="1">
      <alignment horizontal="center"/>
    </xf>
    <xf numFmtId="4" fontId="23" fillId="3" borderId="0" xfId="0" applyNumberFormat="1" applyFont="1" applyFill="1" applyAlignment="1">
      <alignment horizontal="center"/>
    </xf>
    <xf numFmtId="4" fontId="23" fillId="3" borderId="12" xfId="0" applyNumberFormat="1" applyFont="1" applyFill="1" applyBorder="1" applyAlignment="1">
      <alignment horizontal="center"/>
    </xf>
    <xf numFmtId="4" fontId="23" fillId="3" borderId="15" xfId="0" applyNumberFormat="1" applyFont="1" applyFill="1" applyBorder="1" applyAlignment="1">
      <alignment horizontal="center"/>
    </xf>
    <xf numFmtId="4" fontId="23" fillId="3" borderId="11" xfId="0" applyNumberFormat="1" applyFont="1" applyFill="1" applyBorder="1" applyAlignment="1">
      <alignment horizontal="center"/>
    </xf>
    <xf numFmtId="4" fontId="23" fillId="3" borderId="10" xfId="0" applyNumberFormat="1" applyFont="1" applyFill="1" applyBorder="1" applyAlignment="1">
      <alignment horizontal="center"/>
    </xf>
    <xf numFmtId="2" fontId="24" fillId="3" borderId="2" xfId="1" applyNumberFormat="1" applyFont="1" applyFill="1" applyBorder="1" applyAlignment="1" applyProtection="1">
      <alignment horizontal="center" vertical="center"/>
    </xf>
    <xf numFmtId="2" fontId="24" fillId="3" borderId="5" xfId="1" applyNumberFormat="1" applyFont="1" applyFill="1" applyBorder="1" applyAlignment="1" applyProtection="1">
      <alignment horizontal="center" vertical="center"/>
    </xf>
    <xf numFmtId="2" fontId="24" fillId="3" borderId="7" xfId="1" applyNumberFormat="1" applyFont="1" applyFill="1" applyBorder="1" applyAlignment="1" applyProtection="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top"/>
    </xf>
    <xf numFmtId="0" fontId="20" fillId="3" borderId="1" xfId="0" applyFont="1" applyFill="1" applyBorder="1" applyAlignment="1">
      <alignment horizontal="right"/>
    </xf>
    <xf numFmtId="0" fontId="20" fillId="3" borderId="1" xfId="0" applyFont="1" applyFill="1" applyBorder="1" applyAlignment="1">
      <alignment horizontal="left" vertical="center"/>
    </xf>
    <xf numFmtId="0" fontId="20" fillId="0" borderId="0" xfId="0" applyFont="1" applyAlignment="1">
      <alignment horizontal="left"/>
    </xf>
    <xf numFmtId="0" fontId="22" fillId="0" borderId="1" xfId="0" applyFont="1" applyBorder="1" applyAlignment="1">
      <alignment horizontal="left" vertical="top" wrapText="1"/>
    </xf>
    <xf numFmtId="0" fontId="21" fillId="0" borderId="2" xfId="0" applyFont="1" applyBorder="1" applyAlignment="1">
      <alignment horizontal="center" vertical="top"/>
    </xf>
    <xf numFmtId="0" fontId="21" fillId="0" borderId="5" xfId="0" applyFont="1" applyBorder="1" applyAlignment="1">
      <alignment horizontal="center" vertical="top"/>
    </xf>
    <xf numFmtId="0" fontId="20" fillId="3" borderId="1" xfId="0" applyFont="1" applyFill="1" applyBorder="1" applyAlignment="1">
      <alignment horizontal="right" vertical="center" wrapText="1"/>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167" fontId="23" fillId="0" borderId="2" xfId="0" applyNumberFormat="1" applyFont="1" applyBorder="1" applyAlignment="1">
      <alignment horizontal="right" vertical="center"/>
    </xf>
    <xf numFmtId="167" fontId="23" fillId="0" borderId="7" xfId="0" applyNumberFormat="1" applyFont="1" applyBorder="1" applyAlignment="1">
      <alignment horizontal="right" vertical="center"/>
    </xf>
    <xf numFmtId="0" fontId="20" fillId="0" borderId="0" xfId="0" applyFont="1" applyAlignment="1" applyProtection="1">
      <alignment horizontal="center" vertical="center" wrapText="1"/>
      <protection locked="0"/>
    </xf>
    <xf numFmtId="0" fontId="24" fillId="3" borderId="1" xfId="0" applyFont="1" applyFill="1" applyBorder="1" applyAlignment="1">
      <alignment horizontal="right" vertical="center"/>
    </xf>
    <xf numFmtId="0" fontId="23" fillId="3" borderId="3" xfId="0" applyFont="1" applyFill="1" applyBorder="1" applyAlignment="1">
      <alignment horizontal="right" vertical="center"/>
    </xf>
    <xf numFmtId="0" fontId="23" fillId="3" borderId="8" xfId="0" applyFont="1" applyFill="1" applyBorder="1" applyAlignment="1">
      <alignment horizontal="right" vertical="center"/>
    </xf>
    <xf numFmtId="0" fontId="23" fillId="3" borderId="4" xfId="0" applyFont="1" applyFill="1" applyBorder="1" applyAlignment="1">
      <alignment horizontal="right" vertical="center"/>
    </xf>
    <xf numFmtId="0" fontId="24" fillId="0" borderId="1" xfId="0" applyFont="1" applyBorder="1" applyAlignment="1">
      <alignment horizontal="left" vertical="top"/>
    </xf>
    <xf numFmtId="0" fontId="23" fillId="3" borderId="3"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4" xfId="0" applyFont="1" applyFill="1" applyBorder="1" applyAlignment="1">
      <alignment horizontal="center" vertical="center"/>
    </xf>
    <xf numFmtId="0" fontId="82" fillId="0" borderId="0" xfId="0" applyFont="1" applyAlignment="1">
      <alignment wrapText="1"/>
    </xf>
    <xf numFmtId="0" fontId="83" fillId="0" borderId="0" xfId="0" applyFont="1" applyAlignment="1">
      <alignment wrapText="1"/>
    </xf>
    <xf numFmtId="0" fontId="20" fillId="0" borderId="0" xfId="0" applyFont="1" applyAlignment="1">
      <alignment horizontal="center"/>
    </xf>
    <xf numFmtId="0" fontId="21" fillId="0" borderId="0" xfId="0" applyFont="1" applyAlignment="1">
      <alignment horizontal="left" wrapText="1"/>
    </xf>
    <xf numFmtId="0" fontId="21" fillId="0" borderId="0" xfId="0" applyFont="1" applyAlignment="1">
      <alignment horizontal="left"/>
    </xf>
    <xf numFmtId="0" fontId="85" fillId="0" borderId="0" xfId="0" applyFont="1" applyAlignment="1">
      <alignment horizontal="center"/>
    </xf>
    <xf numFmtId="0" fontId="52" fillId="0" borderId="0" xfId="3" applyFont="1" applyAlignment="1">
      <alignment horizontal="center" vertical="center"/>
    </xf>
    <xf numFmtId="0" fontId="41" fillId="23" borderId="1" xfId="3" applyFont="1" applyFill="1" applyBorder="1" applyAlignment="1">
      <alignment horizontal="left" vertical="center" wrapText="1"/>
    </xf>
    <xf numFmtId="0" fontId="48" fillId="23" borderId="45" xfId="3" applyFont="1" applyFill="1" applyBorder="1" applyAlignment="1">
      <alignment horizontal="right" vertical="center" wrapText="1"/>
    </xf>
    <xf numFmtId="0" fontId="48" fillId="23" borderId="42" xfId="3" applyFont="1" applyFill="1" applyBorder="1" applyAlignment="1">
      <alignment horizontal="right" vertical="center" wrapText="1"/>
    </xf>
    <xf numFmtId="0" fontId="48" fillId="23" borderId="46" xfId="3" applyFont="1" applyFill="1" applyBorder="1" applyAlignment="1">
      <alignment horizontal="right" vertical="center" wrapText="1"/>
    </xf>
    <xf numFmtId="1" fontId="32" fillId="0" borderId="45" xfId="3" applyNumberFormat="1" applyBorder="1" applyAlignment="1">
      <alignment horizontal="center" vertical="center"/>
    </xf>
    <xf numFmtId="0" fontId="32" fillId="0" borderId="43" xfId="3" applyBorder="1" applyAlignment="1">
      <alignment horizontal="center" vertical="center"/>
    </xf>
    <xf numFmtId="0" fontId="40" fillId="16" borderId="0" xfId="3" applyFont="1" applyFill="1" applyAlignment="1">
      <alignment horizontal="center" vertical="center" textRotation="90"/>
    </xf>
    <xf numFmtId="0" fontId="47" fillId="23" borderId="49" xfId="3" applyFont="1" applyFill="1" applyBorder="1" applyAlignment="1">
      <alignment horizontal="center" vertical="center" wrapText="1"/>
    </xf>
    <xf numFmtId="0" fontId="32" fillId="0" borderId="49" xfId="3" applyBorder="1" applyAlignment="1">
      <alignment horizontal="center" vertical="center"/>
    </xf>
    <xf numFmtId="0" fontId="32" fillId="0" borderId="50" xfId="3" applyBorder="1" applyAlignment="1">
      <alignment horizontal="center" vertical="center"/>
    </xf>
    <xf numFmtId="0" fontId="40" fillId="16" borderId="25" xfId="3" applyFont="1" applyFill="1" applyBorder="1" applyAlignment="1">
      <alignment horizontal="center" vertical="center" textRotation="90"/>
    </xf>
    <xf numFmtId="0" fontId="40" fillId="33" borderId="27" xfId="3" applyFont="1" applyFill="1" applyBorder="1" applyAlignment="1">
      <alignment horizontal="center" vertical="center" textRotation="90"/>
    </xf>
    <xf numFmtId="0" fontId="40" fillId="33" borderId="30" xfId="3" applyFont="1" applyFill="1" applyBorder="1" applyAlignment="1">
      <alignment horizontal="center" vertical="center" textRotation="90"/>
    </xf>
    <xf numFmtId="0" fontId="40" fillId="33" borderId="32" xfId="3" applyFont="1" applyFill="1" applyBorder="1" applyAlignment="1">
      <alignment horizontal="center" vertical="center" textRotation="90"/>
    </xf>
    <xf numFmtId="0" fontId="35" fillId="29" borderId="47" xfId="3" applyFont="1" applyFill="1" applyBorder="1" applyAlignment="1">
      <alignment horizontal="center" vertical="center" wrapText="1"/>
    </xf>
    <xf numFmtId="0" fontId="35" fillId="29" borderId="19" xfId="3" applyFont="1" applyFill="1" applyBorder="1" applyAlignment="1">
      <alignment horizontal="center" vertical="center" wrapText="1"/>
    </xf>
    <xf numFmtId="0" fontId="35" fillId="29" borderId="20" xfId="3" applyFont="1" applyFill="1" applyBorder="1" applyAlignment="1">
      <alignment horizontal="center" vertical="center" wrapText="1"/>
    </xf>
    <xf numFmtId="0" fontId="44" fillId="24" borderId="1" xfId="3" applyFont="1" applyFill="1" applyBorder="1" applyAlignment="1">
      <alignment horizontal="left" vertical="center" wrapText="1" indent="1"/>
    </xf>
    <xf numFmtId="0" fontId="41" fillId="23" borderId="3" xfId="3" applyFont="1" applyFill="1" applyBorder="1" applyAlignment="1">
      <alignment horizontal="left" vertical="center" wrapText="1"/>
    </xf>
    <xf numFmtId="0" fontId="41" fillId="23" borderId="8" xfId="3" applyFont="1" applyFill="1" applyBorder="1" applyAlignment="1">
      <alignment horizontal="left" vertical="center" wrapText="1"/>
    </xf>
    <xf numFmtId="0" fontId="41" fillId="23" borderId="4" xfId="3" applyFont="1" applyFill="1" applyBorder="1" applyAlignment="1">
      <alignment horizontal="left" vertical="center" wrapText="1"/>
    </xf>
    <xf numFmtId="0" fontId="40" fillId="16" borderId="44" xfId="3" applyFont="1" applyFill="1" applyBorder="1" applyAlignment="1">
      <alignment horizontal="center" vertical="center" textRotation="90"/>
    </xf>
    <xf numFmtId="0" fontId="46" fillId="27" borderId="24" xfId="3" applyFont="1" applyFill="1" applyBorder="1" applyAlignment="1">
      <alignment horizontal="center" vertical="center"/>
    </xf>
    <xf numFmtId="0" fontId="46" fillId="27" borderId="25" xfId="3" applyFont="1" applyFill="1" applyBorder="1" applyAlignment="1">
      <alignment horizontal="center" vertical="center"/>
    </xf>
    <xf numFmtId="0" fontId="46" fillId="27" borderId="26" xfId="3" applyFont="1" applyFill="1" applyBorder="1" applyAlignment="1">
      <alignment horizontal="center" vertical="center"/>
    </xf>
    <xf numFmtId="0" fontId="40" fillId="28" borderId="27" xfId="3" applyFont="1" applyFill="1" applyBorder="1" applyAlignment="1">
      <alignment horizontal="center" vertical="center" textRotation="90"/>
    </xf>
    <xf numFmtId="0" fontId="40" fillId="28" borderId="30" xfId="3" applyFont="1" applyFill="1" applyBorder="1" applyAlignment="1">
      <alignment horizontal="center" vertical="center" textRotation="90"/>
    </xf>
    <xf numFmtId="0" fontId="40" fillId="28" borderId="32" xfId="3" applyFont="1" applyFill="1" applyBorder="1" applyAlignment="1">
      <alignment horizontal="center" vertical="center" textRotation="90"/>
    </xf>
    <xf numFmtId="0" fontId="47" fillId="29" borderId="28" xfId="3" applyFont="1" applyFill="1" applyBorder="1" applyAlignment="1">
      <alignment horizontal="center" vertical="center" wrapText="1"/>
    </xf>
    <xf numFmtId="0" fontId="47" fillId="29" borderId="29" xfId="3" applyFont="1" applyFill="1" applyBorder="1" applyAlignment="1">
      <alignment horizontal="center" vertical="center" wrapText="1"/>
    </xf>
    <xf numFmtId="0" fontId="41" fillId="23" borderId="0" xfId="3" applyFont="1" applyFill="1" applyAlignment="1">
      <alignment horizontal="center" wrapText="1"/>
    </xf>
    <xf numFmtId="0" fontId="40" fillId="15" borderId="35" xfId="3" applyFont="1" applyFill="1" applyBorder="1" applyAlignment="1">
      <alignment horizontal="center" vertical="center" textRotation="90"/>
    </xf>
    <xf numFmtId="0" fontId="40" fillId="15" borderId="39" xfId="3" applyFont="1" applyFill="1" applyBorder="1" applyAlignment="1">
      <alignment horizontal="center" vertical="center" textRotation="90"/>
    </xf>
    <xf numFmtId="0" fontId="40" fillId="15" borderId="40" xfId="3" applyFont="1" applyFill="1" applyBorder="1" applyAlignment="1">
      <alignment horizontal="center" vertical="center" textRotation="90"/>
    </xf>
    <xf numFmtId="0" fontId="73" fillId="23" borderId="36" xfId="3" applyFont="1" applyFill="1" applyBorder="1" applyAlignment="1">
      <alignment horizontal="center" vertical="center" wrapText="1"/>
    </xf>
    <xf numFmtId="0" fontId="73" fillId="23" borderId="37" xfId="3" applyFont="1" applyFill="1" applyBorder="1" applyAlignment="1">
      <alignment horizontal="center" vertical="center" wrapText="1"/>
    </xf>
    <xf numFmtId="0" fontId="73" fillId="23" borderId="38" xfId="3" applyFont="1" applyFill="1" applyBorder="1" applyAlignment="1">
      <alignment horizontal="center" vertical="center" wrapText="1"/>
    </xf>
    <xf numFmtId="0" fontId="44" fillId="24" borderId="30" xfId="3" applyFont="1" applyFill="1" applyBorder="1" applyAlignment="1">
      <alignment horizontal="center" vertical="center" wrapText="1"/>
    </xf>
    <xf numFmtId="0" fontId="44" fillId="24" borderId="1" xfId="3" applyFont="1" applyFill="1" applyBorder="1" applyAlignment="1">
      <alignment horizontal="center" vertical="center" wrapText="1"/>
    </xf>
    <xf numFmtId="0" fontId="41" fillId="23" borderId="30" xfId="3" applyFont="1" applyFill="1" applyBorder="1" applyAlignment="1">
      <alignment horizontal="left" vertical="center" wrapText="1"/>
    </xf>
    <xf numFmtId="0" fontId="45" fillId="26" borderId="41" xfId="3" applyFont="1" applyFill="1" applyBorder="1" applyAlignment="1">
      <alignment horizontal="right" vertical="center" wrapText="1"/>
    </xf>
    <xf numFmtId="0" fontId="45" fillId="26" borderId="42" xfId="3" applyFont="1" applyFill="1" applyBorder="1" applyAlignment="1">
      <alignment horizontal="right" vertical="center" wrapText="1"/>
    </xf>
    <xf numFmtId="0" fontId="32" fillId="15" borderId="42" xfId="3" applyFill="1" applyBorder="1" applyAlignment="1">
      <alignment horizontal="center" vertical="center"/>
    </xf>
    <xf numFmtId="0" fontId="32" fillId="15" borderId="43" xfId="3" applyFill="1" applyBorder="1" applyAlignment="1">
      <alignment horizontal="center" vertical="center"/>
    </xf>
    <xf numFmtId="0" fontId="37" fillId="18" borderId="18" xfId="3" applyFont="1" applyFill="1" applyBorder="1" applyAlignment="1">
      <alignment horizontal="center" vertical="center" wrapText="1"/>
    </xf>
    <xf numFmtId="0" fontId="37" fillId="18" borderId="19" xfId="3" applyFont="1" applyFill="1" applyBorder="1" applyAlignment="1">
      <alignment horizontal="center" vertical="center" wrapText="1"/>
    </xf>
    <xf numFmtId="0" fontId="37" fillId="18" borderId="20" xfId="3" applyFont="1" applyFill="1" applyBorder="1" applyAlignment="1">
      <alignment horizontal="center" vertical="center" wrapText="1"/>
    </xf>
    <xf numFmtId="0" fontId="35" fillId="19" borderId="21" xfId="3" applyFont="1" applyFill="1" applyBorder="1" applyAlignment="1">
      <alignment horizontal="center" vertical="center"/>
    </xf>
    <xf numFmtId="0" fontId="35" fillId="19" borderId="22" xfId="3" applyFont="1" applyFill="1" applyBorder="1" applyAlignment="1">
      <alignment horizontal="center" vertical="center"/>
    </xf>
    <xf numFmtId="0" fontId="35" fillId="19" borderId="23" xfId="3" applyFont="1" applyFill="1" applyBorder="1" applyAlignment="1">
      <alignment horizontal="center" vertical="center"/>
    </xf>
    <xf numFmtId="0" fontId="32" fillId="0" borderId="0" xfId="3" applyAlignment="1">
      <alignment horizontal="center"/>
    </xf>
    <xf numFmtId="0" fontId="39" fillId="18" borderId="24" xfId="3" applyFont="1" applyFill="1" applyBorder="1" applyAlignment="1">
      <alignment horizontal="center" vertical="center"/>
    </xf>
    <xf numFmtId="0" fontId="39" fillId="18" borderId="25" xfId="3" applyFont="1" applyFill="1" applyBorder="1" applyAlignment="1">
      <alignment horizontal="center" vertical="center"/>
    </xf>
    <xf numFmtId="0" fontId="39" fillId="18" borderId="26" xfId="3" applyFont="1" applyFill="1" applyBorder="1" applyAlignment="1">
      <alignment horizontal="center" vertical="center"/>
    </xf>
    <xf numFmtId="0" fontId="40" fillId="20" borderId="27" xfId="3" applyFont="1" applyFill="1" applyBorder="1" applyAlignment="1">
      <alignment horizontal="center" vertical="center" textRotation="90"/>
    </xf>
    <xf numFmtId="0" fontId="40" fillId="20" borderId="30" xfId="3" applyFont="1" applyFill="1" applyBorder="1" applyAlignment="1">
      <alignment horizontal="center" vertical="center" textRotation="90"/>
    </xf>
    <xf numFmtId="0" fontId="40" fillId="20" borderId="32" xfId="3" applyFont="1" applyFill="1" applyBorder="1" applyAlignment="1">
      <alignment horizontal="center" vertical="center" textRotation="90"/>
    </xf>
    <xf numFmtId="0" fontId="41" fillId="21" borderId="28" xfId="3" applyFont="1" applyFill="1" applyBorder="1" applyAlignment="1">
      <alignment horizontal="left" vertical="center" wrapText="1" indent="3"/>
    </xf>
    <xf numFmtId="1" fontId="41" fillId="0" borderId="28" xfId="3" applyNumberFormat="1" applyFont="1" applyBorder="1" applyAlignment="1">
      <alignment horizontal="center" vertical="center" wrapText="1"/>
    </xf>
    <xf numFmtId="1" fontId="41" fillId="0" borderId="29" xfId="3" applyNumberFormat="1" applyFont="1" applyBorder="1" applyAlignment="1">
      <alignment horizontal="center" vertical="center" wrapText="1"/>
    </xf>
    <xf numFmtId="0" fontId="41" fillId="21" borderId="1" xfId="3" applyFont="1" applyFill="1" applyBorder="1" applyAlignment="1">
      <alignment horizontal="left" vertical="center" wrapText="1" indent="3"/>
    </xf>
    <xf numFmtId="49" fontId="41" fillId="0" borderId="1" xfId="3" applyNumberFormat="1" applyFont="1" applyBorder="1" applyAlignment="1">
      <alignment horizontal="center" vertical="center" wrapText="1"/>
    </xf>
    <xf numFmtId="0" fontId="41" fillId="0" borderId="1" xfId="3" applyFont="1" applyBorder="1" applyAlignment="1">
      <alignment horizontal="center" vertical="center" wrapText="1"/>
    </xf>
    <xf numFmtId="0" fontId="41" fillId="0" borderId="31" xfId="3" applyFont="1" applyBorder="1" applyAlignment="1">
      <alignment horizontal="center" vertical="center" wrapText="1"/>
    </xf>
    <xf numFmtId="0" fontId="41" fillId="21" borderId="33" xfId="3" applyFont="1" applyFill="1" applyBorder="1" applyAlignment="1">
      <alignment horizontal="left" vertical="center" wrapText="1" indent="3"/>
    </xf>
    <xf numFmtId="49" fontId="41" fillId="0" borderId="33" xfId="3" applyNumberFormat="1" applyFont="1" applyBorder="1" applyAlignment="1">
      <alignment horizontal="center" vertical="center" wrapText="1"/>
    </xf>
    <xf numFmtId="0" fontId="41" fillId="0" borderId="33" xfId="3" applyFont="1" applyBorder="1" applyAlignment="1">
      <alignment horizontal="center" vertical="center" wrapText="1"/>
    </xf>
    <xf numFmtId="0" fontId="41" fillId="0" borderId="34" xfId="3" applyFont="1" applyBorder="1" applyAlignment="1">
      <alignment horizontal="center" vertical="center" wrapText="1"/>
    </xf>
    <xf numFmtId="0" fontId="58" fillId="0" borderId="0" xfId="3" applyFont="1" applyAlignment="1">
      <alignment horizontal="left" indent="1"/>
    </xf>
    <xf numFmtId="0" fontId="56" fillId="0" borderId="0" xfId="3" applyFont="1" applyAlignment="1" applyProtection="1">
      <alignment horizontal="left" indent="1"/>
      <protection hidden="1"/>
    </xf>
    <xf numFmtId="175" fontId="56" fillId="0" borderId="0" xfId="3" applyNumberFormat="1" applyFont="1" applyAlignment="1" applyProtection="1">
      <alignment horizontal="left"/>
      <protection hidden="1"/>
    </xf>
    <xf numFmtId="0" fontId="56" fillId="0" borderId="0" xfId="3" applyFont="1" applyAlignment="1" applyProtection="1">
      <alignment horizontal="left"/>
      <protection hidden="1"/>
    </xf>
    <xf numFmtId="0" fontId="54" fillId="0" borderId="0" xfId="3" applyFont="1" applyAlignment="1">
      <alignment horizontal="center"/>
    </xf>
    <xf numFmtId="0" fontId="2" fillId="0" borderId="0" xfId="3" applyFont="1" applyAlignment="1">
      <alignment horizontal="center"/>
    </xf>
    <xf numFmtId="0" fontId="58" fillId="0" borderId="0" xfId="3" applyFont="1" applyAlignment="1">
      <alignment horizontal="left" vertical="center"/>
    </xf>
    <xf numFmtId="0" fontId="56" fillId="0" borderId="0" xfId="3" applyFont="1" applyAlignment="1">
      <alignment horizontal="center"/>
    </xf>
    <xf numFmtId="0" fontId="2" fillId="0" borderId="0" xfId="3" applyFont="1" applyAlignment="1">
      <alignment horizontal="left" vertical="center" indent="1"/>
    </xf>
    <xf numFmtId="1" fontId="41" fillId="0" borderId="0" xfId="3" applyNumberFormat="1" applyFont="1" applyAlignment="1">
      <alignment horizontal="left" vertical="center" indent="1"/>
    </xf>
    <xf numFmtId="0" fontId="41" fillId="0" borderId="0" xfId="3" applyFont="1" applyAlignment="1">
      <alignment horizontal="left" vertical="center" indent="1"/>
    </xf>
    <xf numFmtId="0" fontId="2" fillId="0" borderId="1" xfId="3" applyFont="1" applyBorder="1" applyAlignment="1">
      <alignment horizontal="left" vertical="center" wrapText="1" indent="1"/>
    </xf>
    <xf numFmtId="0" fontId="54" fillId="0" borderId="0" xfId="3" applyFont="1" applyAlignment="1">
      <alignment horizontal="center" vertical="center"/>
    </xf>
    <xf numFmtId="0" fontId="62" fillId="0" borderId="0" xfId="3" applyFont="1" applyAlignment="1">
      <alignment horizontal="center"/>
    </xf>
    <xf numFmtId="0" fontId="63" fillId="0" borderId="0" xfId="3" applyFont="1" applyAlignment="1">
      <alignment horizontal="center"/>
    </xf>
    <xf numFmtId="0" fontId="41" fillId="0" borderId="1" xfId="3" applyFont="1" applyBorder="1" applyAlignment="1">
      <alignment horizontal="center" vertical="center"/>
    </xf>
    <xf numFmtId="0" fontId="58" fillId="0" borderId="0" xfId="3" applyFont="1" applyAlignment="1">
      <alignment horizontal="center"/>
    </xf>
    <xf numFmtId="0" fontId="2" fillId="0" borderId="0" xfId="3" applyFont="1" applyAlignment="1">
      <alignment horizontal="right"/>
    </xf>
    <xf numFmtId="0" fontId="60" fillId="0" borderId="0" xfId="3" applyFont="1" applyAlignment="1">
      <alignment horizontal="center" vertical="center"/>
    </xf>
    <xf numFmtId="0" fontId="2" fillId="0" borderId="0" xfId="3" applyFont="1" applyAlignment="1">
      <alignment horizontal="left" vertical="top" wrapText="1"/>
    </xf>
    <xf numFmtId="0" fontId="2" fillId="0" borderId="0" xfId="3" applyFont="1" applyAlignment="1">
      <alignment horizontal="left" vertical="center"/>
    </xf>
    <xf numFmtId="0" fontId="59" fillId="0" borderId="0" xfId="3" applyFont="1" applyAlignment="1">
      <alignment horizontal="center" vertical="center" wrapText="1"/>
    </xf>
    <xf numFmtId="0" fontId="53" fillId="28" borderId="0" xfId="3" applyFont="1" applyFill="1" applyAlignment="1">
      <alignment horizontal="left" vertical="center" wrapText="1" indent="1"/>
    </xf>
    <xf numFmtId="0" fontId="53" fillId="28" borderId="0" xfId="3" applyFont="1" applyFill="1" applyAlignment="1">
      <alignment horizontal="left" vertical="center" indent="1"/>
    </xf>
    <xf numFmtId="0" fontId="55" fillId="0" borderId="0" xfId="3" applyFont="1" applyAlignment="1">
      <alignment horizontal="center" vertical="center"/>
    </xf>
    <xf numFmtId="0" fontId="1" fillId="0" borderId="11" xfId="3" applyFont="1" applyBorder="1" applyAlignment="1">
      <alignment horizontal="justify" vertical="center" wrapText="1"/>
    </xf>
    <xf numFmtId="0" fontId="2" fillId="0" borderId="1" xfId="3" applyFont="1" applyBorder="1" applyAlignment="1">
      <alignment horizontal="left" vertical="center" indent="1"/>
    </xf>
    <xf numFmtId="1" fontId="56" fillId="0" borderId="1" xfId="3" applyNumberFormat="1" applyFont="1" applyBorder="1" applyAlignment="1" applyProtection="1">
      <alignment horizontal="left" vertical="center" indent="1"/>
      <protection hidden="1"/>
    </xf>
    <xf numFmtId="0" fontId="56" fillId="0" borderId="1" xfId="3" applyFont="1" applyBorder="1" applyAlignment="1" applyProtection="1">
      <alignment horizontal="left" vertical="center" indent="1"/>
      <protection hidden="1"/>
    </xf>
    <xf numFmtId="49" fontId="56" fillId="0" borderId="1" xfId="3" applyNumberFormat="1" applyFont="1" applyBorder="1" applyAlignment="1" applyProtection="1">
      <alignment horizontal="left" vertical="center" indent="1"/>
      <protection hidden="1"/>
    </xf>
    <xf numFmtId="0" fontId="2" fillId="0" borderId="0" xfId="3" applyFont="1" applyAlignment="1">
      <alignment horizontal="center" vertical="center"/>
    </xf>
    <xf numFmtId="0" fontId="32" fillId="37" borderId="0" xfId="3" applyFill="1" applyAlignment="1">
      <alignment horizontal="center"/>
    </xf>
    <xf numFmtId="0" fontId="68" fillId="36" borderId="66" xfId="3" applyFont="1" applyFill="1" applyBorder="1" applyAlignment="1">
      <alignment horizontal="center" vertical="center" textRotation="90"/>
    </xf>
    <xf numFmtId="0" fontId="68" fillId="36" borderId="70" xfId="3" applyFont="1" applyFill="1" applyBorder="1" applyAlignment="1">
      <alignment horizontal="center" vertical="center" textRotation="90"/>
    </xf>
    <xf numFmtId="0" fontId="70" fillId="3" borderId="54" xfId="3" applyFont="1" applyFill="1" applyBorder="1" applyAlignment="1">
      <alignment horizontal="center" vertical="center"/>
    </xf>
    <xf numFmtId="0" fontId="70" fillId="3" borderId="62" xfId="3" applyFont="1" applyFill="1" applyBorder="1" applyAlignment="1">
      <alignment horizontal="center" vertical="center"/>
    </xf>
    <xf numFmtId="0" fontId="70" fillId="3" borderId="67" xfId="3" applyFont="1" applyFill="1" applyBorder="1" applyAlignment="1">
      <alignment horizontal="center"/>
    </xf>
    <xf numFmtId="0" fontId="70" fillId="3" borderId="68" xfId="3" applyFont="1" applyFill="1" applyBorder="1" applyAlignment="1">
      <alignment horizontal="center"/>
    </xf>
    <xf numFmtId="0" fontId="70" fillId="3" borderId="69" xfId="3" applyFont="1" applyFill="1" applyBorder="1" applyAlignment="1">
      <alignment horizontal="center"/>
    </xf>
    <xf numFmtId="0" fontId="68" fillId="36" borderId="1" xfId="3" applyFont="1" applyFill="1" applyBorder="1" applyAlignment="1">
      <alignment horizontal="center" vertical="center" textRotation="90"/>
    </xf>
    <xf numFmtId="0" fontId="69" fillId="3" borderId="54" xfId="3" applyFont="1" applyFill="1" applyBorder="1" applyAlignment="1">
      <alignment horizontal="center" vertical="center" wrapText="1"/>
    </xf>
    <xf numFmtId="0" fontId="69" fillId="3" borderId="56" xfId="3" applyFont="1" applyFill="1" applyBorder="1" applyAlignment="1">
      <alignment horizontal="center" vertical="center" wrapText="1"/>
    </xf>
    <xf numFmtId="0" fontId="69" fillId="3" borderId="58" xfId="3" applyFont="1" applyFill="1" applyBorder="1" applyAlignment="1">
      <alignment horizontal="center" vertical="center" wrapText="1"/>
    </xf>
    <xf numFmtId="0" fontId="68" fillId="36" borderId="2" xfId="3" applyFont="1" applyFill="1" applyBorder="1" applyAlignment="1">
      <alignment horizontal="center" vertical="center" textRotation="90"/>
    </xf>
    <xf numFmtId="0" fontId="68" fillId="36" borderId="5" xfId="3" applyFont="1" applyFill="1" applyBorder="1" applyAlignment="1">
      <alignment horizontal="center" vertical="center" textRotation="90"/>
    </xf>
    <xf numFmtId="0" fontId="68" fillId="36" borderId="7" xfId="3" applyFont="1" applyFill="1" applyBorder="1" applyAlignment="1">
      <alignment horizontal="center" vertical="center" textRotation="90"/>
    </xf>
    <xf numFmtId="0" fontId="69" fillId="3" borderId="63" xfId="3" applyFont="1" applyFill="1" applyBorder="1" applyAlignment="1">
      <alignment horizontal="center" vertical="center"/>
    </xf>
    <xf numFmtId="0" fontId="69" fillId="3" borderId="64" xfId="3" applyFont="1" applyFill="1" applyBorder="1" applyAlignment="1">
      <alignment horizontal="center" vertical="center"/>
    </xf>
    <xf numFmtId="0" fontId="69" fillId="3" borderId="65" xfId="3" applyFont="1" applyFill="1" applyBorder="1" applyAlignment="1">
      <alignment horizontal="center" vertical="center"/>
    </xf>
    <xf numFmtId="0" fontId="65" fillId="0" borderId="0" xfId="3" applyFont="1" applyAlignment="1">
      <alignment horizontal="center" vertical="center"/>
    </xf>
    <xf numFmtId="0" fontId="66" fillId="20" borderId="0" xfId="4" applyFill="1" applyAlignment="1" applyProtection="1">
      <alignment horizontal="left" vertical="center" indent="6"/>
    </xf>
    <xf numFmtId="0" fontId="67" fillId="20" borderId="0" xfId="3" applyFont="1" applyFill="1" applyAlignment="1">
      <alignment horizontal="left" vertical="center" indent="6"/>
    </xf>
    <xf numFmtId="0" fontId="77" fillId="36" borderId="1" xfId="3" applyFont="1" applyFill="1" applyBorder="1" applyAlignment="1">
      <alignment horizontal="center" vertical="center" textRotation="90"/>
    </xf>
    <xf numFmtId="0" fontId="75" fillId="3" borderId="74" xfId="3" applyFont="1" applyFill="1" applyBorder="1" applyAlignment="1">
      <alignment horizontal="center" vertical="center"/>
    </xf>
    <xf numFmtId="0" fontId="75" fillId="3" borderId="75" xfId="3" applyFont="1" applyFill="1" applyBorder="1" applyAlignment="1">
      <alignment horizontal="center" vertical="center"/>
    </xf>
    <xf numFmtId="0" fontId="75" fillId="3" borderId="67" xfId="3" applyFont="1" applyFill="1" applyBorder="1" applyAlignment="1">
      <alignment horizontal="center"/>
    </xf>
    <xf numFmtId="0" fontId="75" fillId="3" borderId="68" xfId="3" applyFont="1" applyFill="1" applyBorder="1" applyAlignment="1">
      <alignment horizontal="center"/>
    </xf>
    <xf numFmtId="0" fontId="75" fillId="3" borderId="69" xfId="3" applyFont="1" applyFill="1" applyBorder="1" applyAlignment="1">
      <alignment horizontal="center"/>
    </xf>
    <xf numFmtId="0" fontId="33" fillId="17" borderId="0" xfId="3" applyFont="1" applyFill="1" applyAlignment="1">
      <alignment horizontal="center" vertical="center"/>
    </xf>
    <xf numFmtId="0" fontId="32" fillId="0" borderId="11" xfId="3" applyBorder="1" applyAlignment="1">
      <alignment horizontal="center" vertical="center"/>
    </xf>
  </cellXfs>
  <cellStyles count="5">
    <cellStyle name="Comma" xfId="1" builtinId="3"/>
    <cellStyle name="Hyperlink" xfId="2" builtinId="8"/>
    <cellStyle name="Hyperlink 2" xfId="4" xr:uid="{94F3294B-5FE8-43D7-A92F-3C14EA1BE0F2}"/>
    <cellStyle name="Normal" xfId="0" builtinId="0"/>
    <cellStyle name="Normal 2" xfId="3" xr:uid="{0A585563-2C8C-4C58-A0CF-329C2D16458E}"/>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onthly Salary'!I5"/></Relationships>
</file>

<file path=xl/drawings/_rels/drawing2.xml.rels><?xml version="1.0" encoding="UTF-8" standalone="yes"?>
<Relationships xmlns="http://schemas.openxmlformats.org/package/2006/relationships"><Relationship Id="rId2" Type="http://schemas.openxmlformats.org/officeDocument/2006/relationships/hyperlink" Target="#Form!C5"/><Relationship Id="rId1" Type="http://schemas.openxmlformats.org/officeDocument/2006/relationships/hyperlink" Target="#'IT statement'!I3"/></Relationships>
</file>

<file path=xl/drawings/_rels/drawing3.xml.rels><?xml version="1.0" encoding="UTF-8" standalone="yes"?>
<Relationships xmlns="http://schemas.openxmlformats.org/package/2006/relationships"><Relationship Id="rId3" Type="http://schemas.openxmlformats.org/officeDocument/2006/relationships/hyperlink" Target="#'Monthly Salary'!Print_Area"/><Relationship Id="rId2" Type="http://schemas.openxmlformats.org/officeDocument/2006/relationships/image" Target="../media/image1.wmf"/><Relationship Id="rId1" Type="http://schemas.openxmlformats.org/officeDocument/2006/relationships/hyperlink" Target="#Form!C5"/></Relationships>
</file>

<file path=xl/drawings/_rels/drawing4.xml.rels><?xml version="1.0" encoding="UTF-8" standalone="yes"?>
<Relationships xmlns="http://schemas.openxmlformats.org/package/2006/relationships"><Relationship Id="rId3" Type="http://schemas.openxmlformats.org/officeDocument/2006/relationships/hyperlink" Target="#Rates!A5"/><Relationship Id="rId2" Type="http://schemas.openxmlformats.org/officeDocument/2006/relationships/hyperlink" Target="#HELP!C3"/><Relationship Id="rId1" Type="http://schemas.openxmlformats.org/officeDocument/2006/relationships/hyperlink" Target="#'Form 10E'!C3"/><Relationship Id="rId6" Type="http://schemas.openxmlformats.org/officeDocument/2006/relationships/hyperlink" Target="#'IT statement'!K5"/><Relationship Id="rId5" Type="http://schemas.openxmlformats.org/officeDocument/2006/relationships/image" Target="../media/image1.wmf"/><Relationship Id="rId4" Type="http://schemas.openxmlformats.org/officeDocument/2006/relationships/hyperlink" Target="#Form!C5"/></Relationships>
</file>

<file path=xl/drawings/_rels/drawing5.xml.rels><?xml version="1.0" encoding="UTF-8" standalone="yes"?>
<Relationships xmlns="http://schemas.openxmlformats.org/package/2006/relationships"><Relationship Id="rId3" Type="http://schemas.openxmlformats.org/officeDocument/2006/relationships/image" Target="../media/image1.wmf"/><Relationship Id="rId2" Type="http://schemas.openxmlformats.org/officeDocument/2006/relationships/hyperlink" Target="#Form!C5"/><Relationship Id="rId1" Type="http://schemas.openxmlformats.org/officeDocument/2006/relationships/hyperlink" Target="#Data!B4"/></Relationships>
</file>

<file path=xl/drawings/_rels/drawing6.xml.rels><?xml version="1.0" encoding="UTF-8" standalone="yes"?>
<Relationships xmlns="http://schemas.openxmlformats.org/package/2006/relationships"><Relationship Id="rId1" Type="http://schemas.openxmlformats.org/officeDocument/2006/relationships/hyperlink" Target="#Data!G6"/></Relationships>
</file>

<file path=xl/drawings/_rels/drawing7.xml.rels><?xml version="1.0" encoding="UTF-8" standalone="yes"?>
<Relationships xmlns="http://schemas.openxmlformats.org/package/2006/relationships"><Relationship Id="rId1" Type="http://schemas.openxmlformats.org/officeDocument/2006/relationships/hyperlink" Target="#Data!G6"/></Relationships>
</file>

<file path=xl/drawings/drawing1.xml><?xml version="1.0" encoding="utf-8"?>
<xdr:wsDr xmlns:xdr="http://schemas.openxmlformats.org/drawingml/2006/spreadsheetDrawing" xmlns:a="http://schemas.openxmlformats.org/drawingml/2006/main">
  <xdr:twoCellAnchor>
    <xdr:from>
      <xdr:col>10</xdr:col>
      <xdr:colOff>95249</xdr:colOff>
      <xdr:row>0</xdr:row>
      <xdr:rowOff>130970</xdr:rowOff>
    </xdr:from>
    <xdr:to>
      <xdr:col>14</xdr:col>
      <xdr:colOff>273844</xdr:colOff>
      <xdr:row>9</xdr:row>
      <xdr:rowOff>166687</xdr:rowOff>
    </xdr:to>
    <xdr:grpSp>
      <xdr:nvGrpSpPr>
        <xdr:cNvPr id="7" name="Group 6">
          <a:extLst>
            <a:ext uri="{FF2B5EF4-FFF2-40B4-BE49-F238E27FC236}">
              <a16:creationId xmlns:a16="http://schemas.microsoft.com/office/drawing/2014/main" id="{079DFC26-A147-49E1-80EF-0311DCA0CFA2}"/>
            </a:ext>
          </a:extLst>
        </xdr:cNvPr>
        <xdr:cNvGrpSpPr/>
      </xdr:nvGrpSpPr>
      <xdr:grpSpPr>
        <a:xfrm>
          <a:off x="12015106" y="130970"/>
          <a:ext cx="2791167" cy="2953088"/>
          <a:chOff x="11691937" y="130970"/>
          <a:chExt cx="2714626" cy="2750342"/>
        </a:xfrm>
      </xdr:grpSpPr>
      <xdr:sp macro="" textlink="">
        <xdr:nvSpPr>
          <xdr:cNvPr id="3" name="TextBox 2">
            <a:extLst>
              <a:ext uri="{FF2B5EF4-FFF2-40B4-BE49-F238E27FC236}">
                <a16:creationId xmlns:a16="http://schemas.microsoft.com/office/drawing/2014/main" id="{0E97CD2A-F5CF-43B0-B591-D01930E59AFF}"/>
              </a:ext>
            </a:extLst>
          </xdr:cNvPr>
          <xdr:cNvSpPr txBox="1"/>
        </xdr:nvSpPr>
        <xdr:spPr>
          <a:xfrm>
            <a:off x="11744463" y="130970"/>
            <a:ext cx="2662100" cy="690562"/>
          </a:xfrm>
          <a:prstGeom prst="rect">
            <a:avLst/>
          </a:prstGeom>
          <a:solidFill>
            <a:schemeClr val="accent6"/>
          </a:solidFill>
          <a:ln>
            <a:solidFill>
              <a:schemeClr val="accent6">
                <a:lumMod val="50000"/>
              </a:schemeClr>
            </a:solidFill>
          </a:ln>
          <a:effectLst>
            <a:glow rad="139700">
              <a:schemeClr val="accent2">
                <a:satMod val="175000"/>
                <a:alpha val="40000"/>
              </a:schemeClr>
            </a:glow>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t">
            <a:sp3d extrusionH="57150">
              <a:bevelT w="38100" h="38100" prst="relaxedInset"/>
            </a:sp3d>
          </a:bodyPr>
          <a:lstStyle/>
          <a:p>
            <a:pPr algn="ctr"/>
            <a:r>
              <a:rPr lang="en-IN" sz="12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rPr>
              <a:t>AFTER ENTERING ALL THE RELEVANT DATA</a:t>
            </a:r>
            <a:r>
              <a:rPr lang="en-IN" sz="12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rPr>
              <a:t> HERE, </a:t>
            </a:r>
            <a:r>
              <a:rPr lang="en-IN" sz="12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rPr>
              <a:t>ENTER DEDUCTIONS IN NEXT SHEET</a:t>
            </a:r>
          </a:p>
        </xdr:txBody>
      </xdr:sp>
      <xdr:sp macro="" textlink="">
        <xdr:nvSpPr>
          <xdr:cNvPr id="4" name="&quot;Not Allowed&quot; Symbol 3">
            <a:extLst>
              <a:ext uri="{FF2B5EF4-FFF2-40B4-BE49-F238E27FC236}">
                <a16:creationId xmlns:a16="http://schemas.microsoft.com/office/drawing/2014/main" id="{450432AC-916B-4AA0-9689-B98977936F9B}"/>
              </a:ext>
            </a:extLst>
          </xdr:cNvPr>
          <xdr:cNvSpPr/>
        </xdr:nvSpPr>
        <xdr:spPr>
          <a:xfrm>
            <a:off x="12501562" y="1083468"/>
            <a:ext cx="1131093" cy="1023937"/>
          </a:xfrm>
          <a:prstGeom prst="noSmoking">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IN" sz="1100">
              <a:solidFill>
                <a:schemeClr val="tx1"/>
              </a:solidFill>
            </a:endParaRPr>
          </a:p>
        </xdr:txBody>
      </xdr:sp>
      <xdr:sp macro="" textlink="">
        <xdr:nvSpPr>
          <xdr:cNvPr id="5" name="Rectangle 4">
            <a:extLst>
              <a:ext uri="{FF2B5EF4-FFF2-40B4-BE49-F238E27FC236}">
                <a16:creationId xmlns:a16="http://schemas.microsoft.com/office/drawing/2014/main" id="{40177DBD-E111-4278-8468-E007C959DDF7}"/>
              </a:ext>
            </a:extLst>
          </xdr:cNvPr>
          <xdr:cNvSpPr/>
        </xdr:nvSpPr>
        <xdr:spPr>
          <a:xfrm>
            <a:off x="11691937" y="2214563"/>
            <a:ext cx="2643188" cy="66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800"/>
              <a:t>PRINT OUT OF THIS PAGE IS BLOCKED</a:t>
            </a:r>
          </a:p>
        </xdr:txBody>
      </xdr:sp>
    </xdr:grpSp>
    <xdr:clientData/>
  </xdr:twoCellAnchor>
  <xdr:twoCellAnchor>
    <xdr:from>
      <xdr:col>13</xdr:col>
      <xdr:colOff>224488</xdr:colOff>
      <xdr:row>19</xdr:row>
      <xdr:rowOff>200145</xdr:rowOff>
    </xdr:from>
    <xdr:to>
      <xdr:col>16</xdr:col>
      <xdr:colOff>526473</xdr:colOff>
      <xdr:row>23</xdr:row>
      <xdr:rowOff>281460</xdr:rowOff>
    </xdr:to>
    <xdr:grpSp>
      <xdr:nvGrpSpPr>
        <xdr:cNvPr id="8" name="Group 7">
          <a:extLst>
            <a:ext uri="{FF2B5EF4-FFF2-40B4-BE49-F238E27FC236}">
              <a16:creationId xmlns:a16="http://schemas.microsoft.com/office/drawing/2014/main" id="{F0B64170-AD5E-0088-3BB1-42C3205267DF}"/>
            </a:ext>
          </a:extLst>
        </xdr:cNvPr>
        <xdr:cNvGrpSpPr/>
      </xdr:nvGrpSpPr>
      <xdr:grpSpPr>
        <a:xfrm>
          <a:off x="14049345" y="6644488"/>
          <a:ext cx="2348499" cy="1692401"/>
          <a:chOff x="14134451" y="6490109"/>
          <a:chExt cx="2352458" cy="1674587"/>
        </a:xfrm>
      </xdr:grpSpPr>
      <xdr:sp macro="" textlink="">
        <xdr:nvSpPr>
          <xdr:cNvPr id="2" name="Striped Right Arrow 1">
            <a:hlinkClick xmlns:r="http://schemas.openxmlformats.org/officeDocument/2006/relationships" r:id="rId1" tooltip="Statement of Annual Emoluments"/>
            <a:extLst>
              <a:ext uri="{FF2B5EF4-FFF2-40B4-BE49-F238E27FC236}">
                <a16:creationId xmlns:a16="http://schemas.microsoft.com/office/drawing/2014/main" id="{D1821ADC-418B-4A69-AD18-0F29B5F847B5}"/>
              </a:ext>
            </a:extLst>
          </xdr:cNvPr>
          <xdr:cNvSpPr/>
        </xdr:nvSpPr>
        <xdr:spPr>
          <a:xfrm>
            <a:off x="14322473" y="6490109"/>
            <a:ext cx="2164436" cy="1674587"/>
          </a:xfrm>
          <a:prstGeom prst="stripedRightArrow">
            <a:avLst>
              <a:gd name="adj1" fmla="val 73968"/>
              <a:gd name="adj2" fmla="val 93442"/>
            </a:avLst>
          </a:prstGeom>
          <a:solidFill>
            <a:srgbClr val="C000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sp macro="" textlink="">
        <xdr:nvSpPr>
          <xdr:cNvPr id="6" name="Rectangle 5">
            <a:hlinkClick xmlns:r="http://schemas.openxmlformats.org/officeDocument/2006/relationships" r:id="rId1"/>
            <a:extLst>
              <a:ext uri="{FF2B5EF4-FFF2-40B4-BE49-F238E27FC236}">
                <a16:creationId xmlns:a16="http://schemas.microsoft.com/office/drawing/2014/main" id="{8F32ADE1-AA9C-445D-A6FE-B5B34BFBB3BD}"/>
              </a:ext>
            </a:extLst>
          </xdr:cNvPr>
          <xdr:cNvSpPr/>
        </xdr:nvSpPr>
        <xdr:spPr>
          <a:xfrm>
            <a:off x="14134451" y="6892083"/>
            <a:ext cx="2315874" cy="679232"/>
          </a:xfrm>
          <a:prstGeom prst="rect">
            <a:avLst/>
          </a:prstGeom>
          <a:noFill/>
        </xdr:spPr>
        <xdr:txBody>
          <a:bodyPr wrap="none" lIns="91440" tIns="45720" rIns="91440" bIns="45720">
            <a:noAutofit/>
          </a:bodyPr>
          <a:lstStyle/>
          <a:p>
            <a:pPr algn="ctr"/>
            <a:r>
              <a:rPr lang="en-US" sz="1800" b="1" cap="none" spc="50">
                <a:ln w="9525" cmpd="sng">
                  <a:solidFill>
                    <a:schemeClr val="accent1"/>
                  </a:solidFill>
                  <a:prstDash val="solid"/>
                </a:ln>
                <a:solidFill>
                  <a:srgbClr val="70AD47">
                    <a:tint val="1000"/>
                  </a:srgbClr>
                </a:solidFill>
                <a:effectLst>
                  <a:glow rad="38100">
                    <a:schemeClr val="accent1">
                      <a:alpha val="40000"/>
                    </a:schemeClr>
                  </a:glow>
                </a:effectLst>
              </a:rPr>
              <a:t>CLICK TO</a:t>
            </a:r>
          </a:p>
          <a:p>
            <a:pPr algn="ctr"/>
            <a:r>
              <a:rPr lang="en-US" sz="1800" b="1" cap="none" spc="50">
                <a:ln w="9525" cmpd="sng">
                  <a:solidFill>
                    <a:schemeClr val="accent1"/>
                  </a:solidFill>
                  <a:prstDash val="solid"/>
                </a:ln>
                <a:solidFill>
                  <a:srgbClr val="70AD47">
                    <a:tint val="1000"/>
                  </a:srgbClr>
                </a:solidFill>
                <a:effectLst>
                  <a:glow rad="38100">
                    <a:schemeClr val="accent1">
                      <a:alpha val="40000"/>
                    </a:schemeClr>
                  </a:glow>
                </a:effectLst>
              </a:rPr>
              <a:t>MONTHLY SALARY </a:t>
            </a:r>
          </a:p>
          <a:p>
            <a:pPr algn="ctr"/>
            <a:r>
              <a:rPr lang="en-US" sz="1800" b="1" cap="none" spc="50">
                <a:ln w="9525" cmpd="sng">
                  <a:solidFill>
                    <a:schemeClr val="accent1"/>
                  </a:solidFill>
                  <a:prstDash val="solid"/>
                </a:ln>
                <a:solidFill>
                  <a:srgbClr val="70AD47">
                    <a:tint val="1000"/>
                  </a:srgbClr>
                </a:solidFill>
                <a:effectLst>
                  <a:glow rad="38100">
                    <a:schemeClr val="accent1">
                      <a:alpha val="40000"/>
                    </a:schemeClr>
                  </a:glow>
                </a:effectLst>
              </a:rPr>
              <a:t>SHEET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559594</xdr:colOff>
      <xdr:row>17</xdr:row>
      <xdr:rowOff>154781</xdr:rowOff>
    </xdr:from>
    <xdr:to>
      <xdr:col>27</xdr:col>
      <xdr:colOff>297656</xdr:colOff>
      <xdr:row>23</xdr:row>
      <xdr:rowOff>11906</xdr:rowOff>
    </xdr:to>
    <xdr:sp macro="" textlink="">
      <xdr:nvSpPr>
        <xdr:cNvPr id="4" name="Arrow: Right 3">
          <a:hlinkClick xmlns:r="http://schemas.openxmlformats.org/officeDocument/2006/relationships" r:id="rId1" tooltip="Computation of Tax sheet"/>
          <a:extLst>
            <a:ext uri="{FF2B5EF4-FFF2-40B4-BE49-F238E27FC236}">
              <a16:creationId xmlns:a16="http://schemas.microsoft.com/office/drawing/2014/main" id="{FD5C6E9A-A350-4EDD-9E97-7B0CE9ABE841}"/>
            </a:ext>
          </a:extLst>
        </xdr:cNvPr>
        <xdr:cNvSpPr/>
      </xdr:nvSpPr>
      <xdr:spPr>
        <a:xfrm>
          <a:off x="11846719" y="4667250"/>
          <a:ext cx="1559718" cy="1238250"/>
        </a:xfrm>
        <a:prstGeom prst="rightArrow">
          <a:avLst>
            <a:gd name="adj1" fmla="val 6730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IN"/>
        </a:p>
      </xdr:txBody>
    </xdr:sp>
    <xdr:clientData/>
  </xdr:twoCellAnchor>
  <xdr:twoCellAnchor>
    <xdr:from>
      <xdr:col>22</xdr:col>
      <xdr:colOff>95249</xdr:colOff>
      <xdr:row>17</xdr:row>
      <xdr:rowOff>142873</xdr:rowOff>
    </xdr:from>
    <xdr:to>
      <xdr:col>24</xdr:col>
      <xdr:colOff>345280</xdr:colOff>
      <xdr:row>22</xdr:row>
      <xdr:rowOff>250029</xdr:rowOff>
    </xdr:to>
    <xdr:sp macro="" textlink="">
      <xdr:nvSpPr>
        <xdr:cNvPr id="5" name="Arrow: Right 4">
          <a:hlinkClick xmlns:r="http://schemas.openxmlformats.org/officeDocument/2006/relationships" r:id="rId2" tooltip="HOME"/>
          <a:extLst>
            <a:ext uri="{FF2B5EF4-FFF2-40B4-BE49-F238E27FC236}">
              <a16:creationId xmlns:a16="http://schemas.microsoft.com/office/drawing/2014/main" id="{1A993B4D-EA7C-46B3-8671-00EC47272862}"/>
            </a:ext>
          </a:extLst>
        </xdr:cNvPr>
        <xdr:cNvSpPr/>
      </xdr:nvSpPr>
      <xdr:spPr>
        <a:xfrm rot="10800000">
          <a:off x="10167937" y="4655342"/>
          <a:ext cx="1464468" cy="1238250"/>
        </a:xfrm>
        <a:prstGeom prst="rightArrow">
          <a:avLst>
            <a:gd name="adj1" fmla="val 63462"/>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IN"/>
        </a:p>
      </xdr:txBody>
    </xdr:sp>
    <xdr:clientData/>
  </xdr:twoCellAnchor>
  <xdr:twoCellAnchor>
    <xdr:from>
      <xdr:col>22</xdr:col>
      <xdr:colOff>107155</xdr:colOff>
      <xdr:row>23</xdr:row>
      <xdr:rowOff>178595</xdr:rowOff>
    </xdr:from>
    <xdr:to>
      <xdr:col>27</xdr:col>
      <xdr:colOff>285748</xdr:colOff>
      <xdr:row>26</xdr:row>
      <xdr:rowOff>71437</xdr:rowOff>
    </xdr:to>
    <xdr:sp macro="" textlink="">
      <xdr:nvSpPr>
        <xdr:cNvPr id="6" name="TextBox 5">
          <a:extLst>
            <a:ext uri="{FF2B5EF4-FFF2-40B4-BE49-F238E27FC236}">
              <a16:creationId xmlns:a16="http://schemas.microsoft.com/office/drawing/2014/main" id="{D9E89909-B9A9-46E9-A9E2-57BB63E0CD72}"/>
            </a:ext>
          </a:extLst>
        </xdr:cNvPr>
        <xdr:cNvSpPr txBox="1"/>
      </xdr:nvSpPr>
      <xdr:spPr>
        <a:xfrm>
          <a:off x="10179843" y="6072189"/>
          <a:ext cx="3214686" cy="702467"/>
        </a:xfrm>
        <a:prstGeom prst="rect">
          <a:avLst/>
        </a:prstGeom>
        <a:ln/>
        <a:effectLst>
          <a:glow rad="139700">
            <a:schemeClr val="accent2">
              <a:satMod val="175000"/>
              <a:alpha val="40000"/>
            </a:schemeClr>
          </a:glow>
          <a:outerShdw blurRad="40000" dist="20000" dir="5400000" rotWithShape="0">
            <a:srgbClr val="000000">
              <a:alpha val="38000"/>
            </a:srgbClr>
          </a:outerShdw>
        </a:effectLst>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n-IN" sz="1600" b="0" cap="none" spc="0">
              <a:ln w="0"/>
              <a:solidFill>
                <a:schemeClr val="tx1"/>
              </a:solidFill>
              <a:effectLst>
                <a:outerShdw blurRad="38100" dist="19050" dir="2700000" algn="tl" rotWithShape="0">
                  <a:schemeClr val="dk1">
                    <a:alpha val="40000"/>
                  </a:schemeClr>
                </a:outerShdw>
              </a:effectLst>
            </a:rPr>
            <a:t>AFTER ENTERING RELEVANT DATA</a:t>
          </a:r>
          <a:r>
            <a:rPr lang="en-IN" sz="1600" b="0" cap="none" spc="0" baseline="0">
              <a:ln w="0"/>
              <a:solidFill>
                <a:schemeClr val="tx1"/>
              </a:solidFill>
              <a:effectLst>
                <a:outerShdw blurRad="38100" dist="19050" dir="2700000" algn="tl" rotWithShape="0">
                  <a:schemeClr val="dk1">
                    <a:alpha val="40000"/>
                  </a:schemeClr>
                </a:outerShdw>
              </a:effectLst>
            </a:rPr>
            <a:t> HERE, GO TO</a:t>
          </a:r>
          <a:r>
            <a:rPr lang="en-IN" sz="1600" b="0" cap="none" spc="0">
              <a:ln w="0"/>
              <a:solidFill>
                <a:schemeClr val="tx1"/>
              </a:solidFill>
              <a:effectLst>
                <a:outerShdw blurRad="38100" dist="19050" dir="2700000" algn="tl" rotWithShape="0">
                  <a:schemeClr val="dk1">
                    <a:alpha val="40000"/>
                  </a:schemeClr>
                </a:outerShdw>
              </a:effectLst>
            </a:rPr>
            <a:t> NEXT SHEET</a:t>
          </a:r>
        </a:p>
      </xdr:txBody>
    </xdr:sp>
    <xdr:clientData/>
  </xdr:twoCellAnchor>
  <xdr:twoCellAnchor>
    <xdr:from>
      <xdr:col>22</xdr:col>
      <xdr:colOff>142874</xdr:colOff>
      <xdr:row>14</xdr:row>
      <xdr:rowOff>71440</xdr:rowOff>
    </xdr:from>
    <xdr:to>
      <xdr:col>27</xdr:col>
      <xdr:colOff>321467</xdr:colOff>
      <xdr:row>17</xdr:row>
      <xdr:rowOff>23813</xdr:rowOff>
    </xdr:to>
    <xdr:sp macro="" textlink="">
      <xdr:nvSpPr>
        <xdr:cNvPr id="2" name="TextBox 1">
          <a:extLst>
            <a:ext uri="{FF2B5EF4-FFF2-40B4-BE49-F238E27FC236}">
              <a16:creationId xmlns:a16="http://schemas.microsoft.com/office/drawing/2014/main" id="{BA1C419A-D6D9-C3D2-5CB4-3934C26DFCB8}"/>
            </a:ext>
          </a:extLst>
        </xdr:cNvPr>
        <xdr:cNvSpPr txBox="1"/>
      </xdr:nvSpPr>
      <xdr:spPr>
        <a:xfrm>
          <a:off x="10215562" y="3833815"/>
          <a:ext cx="3214686" cy="702467"/>
        </a:xfrm>
        <a:prstGeom prst="rect">
          <a:avLst/>
        </a:prstGeom>
        <a:ln/>
        <a:effectLst>
          <a:glow rad="139700">
            <a:schemeClr val="accent2">
              <a:satMod val="175000"/>
              <a:alpha val="40000"/>
            </a:schemeClr>
          </a:glow>
          <a:outerShdw blurRad="40000" dist="20000" dir="5400000" rotWithShape="0">
            <a:srgbClr val="000000">
              <a:alpha val="38000"/>
            </a:srgbClr>
          </a:outerShdw>
        </a:effectLst>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n-IN" sz="1600" b="0" cap="none" spc="0">
              <a:ln w="0"/>
              <a:solidFill>
                <a:schemeClr val="tx1"/>
              </a:solidFill>
              <a:effectLst>
                <a:outerShdw blurRad="38100" dist="19050" dir="2700000" algn="tl" rotWithShape="0">
                  <a:schemeClr val="dk1">
                    <a:alpha val="40000"/>
                  </a:schemeClr>
                </a:outerShdw>
              </a:effectLst>
            </a:rPr>
            <a:t>LOAD ONE A4 paper in printer and print this sheet</a:t>
          </a:r>
        </a:p>
      </xdr:txBody>
    </xdr:sp>
    <xdr:clientData/>
  </xdr:twoCellAnchor>
  <xdr:twoCellAnchor>
    <xdr:from>
      <xdr:col>22</xdr:col>
      <xdr:colOff>107155</xdr:colOff>
      <xdr:row>7</xdr:row>
      <xdr:rowOff>119064</xdr:rowOff>
    </xdr:from>
    <xdr:to>
      <xdr:col>27</xdr:col>
      <xdr:colOff>285748</xdr:colOff>
      <xdr:row>10</xdr:row>
      <xdr:rowOff>71437</xdr:rowOff>
    </xdr:to>
    <xdr:sp macro="" textlink="">
      <xdr:nvSpPr>
        <xdr:cNvPr id="3" name="TextBox 2">
          <a:extLst>
            <a:ext uri="{FF2B5EF4-FFF2-40B4-BE49-F238E27FC236}">
              <a16:creationId xmlns:a16="http://schemas.microsoft.com/office/drawing/2014/main" id="{ECBA367A-F77C-DC12-901D-8DA0503F2E5B}"/>
            </a:ext>
          </a:extLst>
        </xdr:cNvPr>
        <xdr:cNvSpPr txBox="1"/>
      </xdr:nvSpPr>
      <xdr:spPr>
        <a:xfrm>
          <a:off x="10179843" y="2131220"/>
          <a:ext cx="3214686" cy="702467"/>
        </a:xfrm>
        <a:prstGeom prst="rect">
          <a:avLst/>
        </a:prstGeom>
        <a:ln/>
        <a:effectLst>
          <a:glow rad="139700">
            <a:schemeClr val="accent2">
              <a:satMod val="175000"/>
              <a:alpha val="40000"/>
            </a:schemeClr>
          </a:glow>
          <a:outerShdw blurRad="40000" dist="20000" dir="5400000" rotWithShape="0">
            <a:srgbClr val="000000">
              <a:alpha val="38000"/>
            </a:srgbClr>
          </a:outerShdw>
        </a:effectLst>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en-IN" sz="1600" b="0" cap="none" spc="0">
              <a:ln w="0"/>
              <a:solidFill>
                <a:schemeClr val="tx1"/>
              </a:solidFill>
              <a:effectLst>
                <a:outerShdw blurRad="38100" dist="19050" dir="2700000" algn="tl" rotWithShape="0">
                  <a:schemeClr val="dk1">
                    <a:alpha val="40000"/>
                  </a:schemeClr>
                </a:outerShdw>
              </a:effectLst>
            </a:rPr>
            <a:t>ANY CORRECTIONS IN ORANGE CELLS CAN BE MADE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410961</xdr:colOff>
      <xdr:row>110</xdr:row>
      <xdr:rowOff>162730</xdr:rowOff>
    </xdr:from>
    <xdr:to>
      <xdr:col>15</xdr:col>
      <xdr:colOff>27680</xdr:colOff>
      <xdr:row>114</xdr:row>
      <xdr:rowOff>128597</xdr:rowOff>
    </xdr:to>
    <xdr:pic>
      <xdr:nvPicPr>
        <xdr:cNvPr id="4395" name="Picture 1">
          <a:hlinkClick xmlns:r="http://schemas.openxmlformats.org/officeDocument/2006/relationships" r:id="rId1" tooltip="HOME"/>
          <a:extLst>
            <a:ext uri="{FF2B5EF4-FFF2-40B4-BE49-F238E27FC236}">
              <a16:creationId xmlns:a16="http://schemas.microsoft.com/office/drawing/2014/main" id="{1EC2555C-CDCC-4CFB-82BA-15CDC20B2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2299" y="27369350"/>
          <a:ext cx="1011930" cy="91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272737</xdr:colOff>
      <xdr:row>111</xdr:row>
      <xdr:rowOff>122664</xdr:rowOff>
    </xdr:from>
    <xdr:to>
      <xdr:col>13</xdr:col>
      <xdr:colOff>129861</xdr:colOff>
      <xdr:row>114</xdr:row>
      <xdr:rowOff>169708</xdr:rowOff>
    </xdr:to>
    <xdr:sp macro="" textlink="">
      <xdr:nvSpPr>
        <xdr:cNvPr id="2" name="Arrow: Left 1">
          <a:hlinkClick xmlns:r="http://schemas.openxmlformats.org/officeDocument/2006/relationships" r:id="rId3" tooltip="Statement of Annual Emoluments"/>
          <a:extLst>
            <a:ext uri="{FF2B5EF4-FFF2-40B4-BE49-F238E27FC236}">
              <a16:creationId xmlns:a16="http://schemas.microsoft.com/office/drawing/2014/main" id="{DBD6B0C9-14BB-4FF4-BA2D-3B3790DD7E8E}"/>
            </a:ext>
          </a:extLst>
        </xdr:cNvPr>
        <xdr:cNvSpPr/>
      </xdr:nvSpPr>
      <xdr:spPr>
        <a:xfrm>
          <a:off x="9046469" y="27517101"/>
          <a:ext cx="554730" cy="807255"/>
        </a:xfrm>
        <a:prstGeom prst="leftArrow">
          <a:avLst>
            <a:gd name="adj1" fmla="val 7381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155643</xdr:colOff>
      <xdr:row>12</xdr:row>
      <xdr:rowOff>75941</xdr:rowOff>
    </xdr:from>
    <xdr:to>
      <xdr:col>25</xdr:col>
      <xdr:colOff>421319</xdr:colOff>
      <xdr:row>13</xdr:row>
      <xdr:rowOff>527654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3F02FCB-E736-4D03-9435-25C14419B588}"/>
            </a:ext>
          </a:extLst>
        </xdr:cNvPr>
        <xdr:cNvSpPr/>
      </xdr:nvSpPr>
      <xdr:spPr bwMode="auto">
        <a:xfrm>
          <a:off x="17313515" y="4478036"/>
          <a:ext cx="2685540" cy="760632"/>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wrap="square" lIns="18288" tIns="0" rIns="0" bIns="0" rtlCol="0" anchor="ctr" upright="1"/>
        <a:lstStyle/>
        <a:p>
          <a:pPr algn="ctr"/>
          <a:r>
            <a:rPr lang="en-US" sz="1600" b="1"/>
            <a:t>PRINT </a:t>
          </a:r>
          <a:r>
            <a:rPr lang="en-US" sz="1600" b="1">
              <a:solidFill>
                <a:schemeClr val="tx1"/>
              </a:solidFill>
            </a:rPr>
            <a:t>10 E</a:t>
          </a:r>
          <a:r>
            <a:rPr lang="en-US" sz="1600" b="1" baseline="0"/>
            <a:t> </a:t>
          </a:r>
        </a:p>
        <a:p>
          <a:pPr algn="ctr"/>
          <a:r>
            <a:rPr lang="en-US" sz="1600" b="1" baseline="0"/>
            <a:t>&amp; RELATED FORMS</a:t>
          </a:r>
          <a:endParaRPr lang="en-US" sz="1600" b="1"/>
        </a:p>
      </xdr:txBody>
    </xdr:sp>
    <xdr:clientData/>
  </xdr:twoCellAnchor>
  <xdr:twoCellAnchor>
    <xdr:from>
      <xdr:col>19</xdr:col>
      <xdr:colOff>529590</xdr:colOff>
      <xdr:row>0</xdr:row>
      <xdr:rowOff>50801</xdr:rowOff>
    </xdr:from>
    <xdr:to>
      <xdr:col>20</xdr:col>
      <xdr:colOff>698571</xdr:colOff>
      <xdr:row>0</xdr:row>
      <xdr:rowOff>298451</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4631D62-47B2-43C4-8F67-914AFA337833}"/>
            </a:ext>
          </a:extLst>
        </xdr:cNvPr>
        <xdr:cNvSpPr/>
      </xdr:nvSpPr>
      <xdr:spPr bwMode="auto">
        <a:xfrm>
          <a:off x="15883890" y="50801"/>
          <a:ext cx="1064331" cy="247650"/>
        </a:xfrm>
        <a:prstGeom prst="roundRect">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n-US" sz="1200" b="1"/>
            <a:t>HELP</a:t>
          </a:r>
          <a:endParaRPr lang="en-US" sz="1100" b="1"/>
        </a:p>
      </xdr:txBody>
    </xdr:sp>
    <xdr:clientData/>
  </xdr:twoCellAnchor>
  <xdr:twoCellAnchor>
    <xdr:from>
      <xdr:col>19</xdr:col>
      <xdr:colOff>568960</xdr:colOff>
      <xdr:row>0</xdr:row>
      <xdr:rowOff>409575</xdr:rowOff>
    </xdr:from>
    <xdr:to>
      <xdr:col>20</xdr:col>
      <xdr:colOff>730225</xdr:colOff>
      <xdr:row>1</xdr:row>
      <xdr:rowOff>285828</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6BDFDD27-6177-49E5-8BA4-FD31EBD8C547}"/>
            </a:ext>
          </a:extLst>
        </xdr:cNvPr>
        <xdr:cNvSpPr/>
      </xdr:nvSpPr>
      <xdr:spPr bwMode="auto">
        <a:xfrm>
          <a:off x="15923260" y="409575"/>
          <a:ext cx="1056615" cy="609678"/>
        </a:xfrm>
        <a:prstGeom prst="roundRect">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n-US" sz="1200" b="1"/>
            <a:t>PREVIOUS</a:t>
          </a:r>
          <a:r>
            <a:rPr lang="en-US" sz="1200" b="1" baseline="0"/>
            <a:t> </a:t>
          </a:r>
        </a:p>
        <a:p>
          <a:pPr algn="ctr"/>
          <a:r>
            <a:rPr lang="en-US" sz="1200" b="1" baseline="0"/>
            <a:t>TAX RATES</a:t>
          </a:r>
        </a:p>
      </xdr:txBody>
    </xdr:sp>
    <xdr:clientData/>
  </xdr:twoCellAnchor>
  <xdr:twoCellAnchor editAs="oneCell">
    <xdr:from>
      <xdr:col>21</xdr:col>
      <xdr:colOff>205945</xdr:colOff>
      <xdr:row>0</xdr:row>
      <xdr:rowOff>257432</xdr:rowOff>
    </xdr:from>
    <xdr:to>
      <xdr:col>24</xdr:col>
      <xdr:colOff>0</xdr:colOff>
      <xdr:row>5</xdr:row>
      <xdr:rowOff>171567</xdr:rowOff>
    </xdr:to>
    <xdr:pic>
      <xdr:nvPicPr>
        <xdr:cNvPr id="7" name="Picture 1">
          <a:hlinkClick xmlns:r="http://schemas.openxmlformats.org/officeDocument/2006/relationships" r:id="rId4" tooltip="HOME"/>
          <a:extLst>
            <a:ext uri="{FF2B5EF4-FFF2-40B4-BE49-F238E27FC236}">
              <a16:creationId xmlns:a16="http://schemas.microsoft.com/office/drawing/2014/main" id="{801536DB-67FC-4DB7-801A-ADD99BEA3E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3817" y="257432"/>
          <a:ext cx="1608953" cy="1767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128716</xdr:colOff>
      <xdr:row>8</xdr:row>
      <xdr:rowOff>128717</xdr:rowOff>
    </xdr:from>
    <xdr:to>
      <xdr:col>25</xdr:col>
      <xdr:colOff>437636</xdr:colOff>
      <xdr:row>11</xdr:row>
      <xdr:rowOff>102973</xdr:rowOff>
    </xdr:to>
    <xdr:sp macro="" textlink="">
      <xdr:nvSpPr>
        <xdr:cNvPr id="10" name="Rectangle: Beveled 9">
          <a:hlinkClick xmlns:r="http://schemas.openxmlformats.org/officeDocument/2006/relationships" r:id="rId6"/>
          <a:extLst>
            <a:ext uri="{FF2B5EF4-FFF2-40B4-BE49-F238E27FC236}">
              <a16:creationId xmlns:a16="http://schemas.microsoft.com/office/drawing/2014/main" id="{9C7D591A-FF4B-3C77-6D7D-D43665DDAD51}"/>
            </a:ext>
          </a:extLst>
        </xdr:cNvPr>
        <xdr:cNvSpPr/>
      </xdr:nvSpPr>
      <xdr:spPr>
        <a:xfrm>
          <a:off x="17286588" y="2908987"/>
          <a:ext cx="2728784" cy="1068344"/>
        </a:xfrm>
        <a:prstGeom prst="bevel">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ctr"/>
          <a:r>
            <a:rPr lang="en-IN" sz="1800" b="1" kern="1200" cap="none" spc="0">
              <a:ln w="12700">
                <a:solidFill>
                  <a:schemeClr val="tx2">
                    <a:lumMod val="75000"/>
                  </a:schemeClr>
                </a:solidFill>
                <a:prstDash val="solid"/>
              </a:ln>
              <a:solidFill>
                <a:srgbClr val="FFFF00"/>
              </a:solidFill>
              <a:effectLst>
                <a:outerShdw dist="38100" dir="2640000" algn="bl" rotWithShape="0">
                  <a:schemeClr val="tx2">
                    <a:lumMod val="75000"/>
                  </a:schemeClr>
                </a:outerShdw>
              </a:effectLst>
              <a:latin typeface="Arial Black" panose="020B0A04020102020204" pitchFamily="34" charset="0"/>
            </a:rPr>
            <a:t>BACK TO IT STATEMENT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274320</xdr:colOff>
      <xdr:row>0</xdr:row>
      <xdr:rowOff>190500</xdr:rowOff>
    </xdr:from>
    <xdr:to>
      <xdr:col>7</xdr:col>
      <xdr:colOff>664846</xdr:colOff>
      <xdr:row>0</xdr:row>
      <xdr:rowOff>542925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1D632E3-2989-43F5-902D-D5F4EA313417}"/>
            </a:ext>
          </a:extLst>
        </xdr:cNvPr>
        <xdr:cNvSpPr/>
      </xdr:nvSpPr>
      <xdr:spPr bwMode="auto">
        <a:xfrm>
          <a:off x="4989195" y="190500"/>
          <a:ext cx="1266826" cy="35242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en-US" sz="1400" b="1"/>
            <a:t>MAIN PAGE</a:t>
          </a:r>
        </a:p>
      </xdr:txBody>
    </xdr:sp>
    <xdr:clientData/>
  </xdr:twoCellAnchor>
  <xdr:twoCellAnchor editAs="oneCell">
    <xdr:from>
      <xdr:col>12</xdr:col>
      <xdr:colOff>0</xdr:colOff>
      <xdr:row>0</xdr:row>
      <xdr:rowOff>0</xdr:rowOff>
    </xdr:from>
    <xdr:to>
      <xdr:col>13</xdr:col>
      <xdr:colOff>230800</xdr:colOff>
      <xdr:row>1</xdr:row>
      <xdr:rowOff>55514</xdr:rowOff>
    </xdr:to>
    <xdr:pic>
      <xdr:nvPicPr>
        <xdr:cNvPr id="4" name="Picture 1">
          <a:hlinkClick xmlns:r="http://schemas.openxmlformats.org/officeDocument/2006/relationships" r:id="rId2" tooltip="HOME"/>
          <a:extLst>
            <a:ext uri="{FF2B5EF4-FFF2-40B4-BE49-F238E27FC236}">
              <a16:creationId xmlns:a16="http://schemas.microsoft.com/office/drawing/2014/main" id="{92EDEE69-7707-489B-A4AB-D683377AE2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735" y="0"/>
          <a:ext cx="835918" cy="91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291465</xdr:colOff>
      <xdr:row>0</xdr:row>
      <xdr:rowOff>47625</xdr:rowOff>
    </xdr:from>
    <xdr:to>
      <xdr:col>5</xdr:col>
      <xdr:colOff>1004005</xdr:colOff>
      <xdr:row>0</xdr:row>
      <xdr:rowOff>400050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D71880A-4F3A-48BF-8676-1A18856AC3AE}"/>
            </a:ext>
          </a:extLst>
        </xdr:cNvPr>
        <xdr:cNvSpPr/>
      </xdr:nvSpPr>
      <xdr:spPr bwMode="auto">
        <a:xfrm>
          <a:off x="6368415" y="47625"/>
          <a:ext cx="2093665" cy="352425"/>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en-US" sz="1100" b="1"/>
            <a:t>MAIN PAGE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4808220</xdr:colOff>
      <xdr:row>0</xdr:row>
      <xdr:rowOff>123825</xdr:rowOff>
    </xdr:from>
    <xdr:to>
      <xdr:col>2</xdr:col>
      <xdr:colOff>6002191</xdr:colOff>
      <xdr:row>0</xdr:row>
      <xdr:rowOff>495300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DA26B76-8F00-4369-B7DF-2B3839091EB7}"/>
            </a:ext>
          </a:extLst>
        </xdr:cNvPr>
        <xdr:cNvSpPr/>
      </xdr:nvSpPr>
      <xdr:spPr bwMode="auto">
        <a:xfrm>
          <a:off x="6294120" y="123825"/>
          <a:ext cx="1193971" cy="371475"/>
        </a:xfrm>
        <a:prstGeom prst="roundRect">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n-US" sz="1200" b="1"/>
            <a:t>MAIN PAGE</a:t>
          </a:r>
          <a:endParaRPr 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1"/>
  <sheetViews>
    <sheetView showGridLines="0" tabSelected="1" topLeftCell="A5" zoomScale="70" zoomScaleNormal="70" workbookViewId="0">
      <selection activeCell="C5" sqref="C5"/>
    </sheetView>
  </sheetViews>
  <sheetFormatPr defaultColWidth="0" defaultRowHeight="14.4" zeroHeight="1" x14ac:dyDescent="0.3"/>
  <cols>
    <col min="1" max="1" width="3.88671875" customWidth="1"/>
    <col min="2" max="2" width="51.44140625" customWidth="1"/>
    <col min="3" max="3" width="35.88671875" customWidth="1"/>
    <col min="4" max="4" width="3.44140625" customWidth="1"/>
    <col min="5" max="5" width="21.33203125" customWidth="1"/>
    <col min="6" max="6" width="10.44140625" customWidth="1"/>
    <col min="7" max="7" width="10.6640625" customWidth="1"/>
    <col min="8" max="8" width="15.6640625" customWidth="1"/>
    <col min="9" max="9" width="8.88671875" customWidth="1"/>
    <col min="10" max="10" width="12" style="7" customWidth="1"/>
    <col min="11" max="11" width="6.109375" customWidth="1"/>
    <col min="12" max="12" width="6.44140625" customWidth="1"/>
    <col min="13" max="13" width="15" customWidth="1"/>
    <col min="14" max="14" width="10.33203125" customWidth="1"/>
    <col min="15" max="15" width="9.109375" customWidth="1"/>
    <col min="16" max="17" width="10.44140625" customWidth="1"/>
    <col min="18" max="19" width="77" hidden="1" customWidth="1"/>
    <col min="20" max="16384" width="9.109375" hidden="1"/>
  </cols>
  <sheetData>
    <row r="1" spans="1:18" x14ac:dyDescent="0.3">
      <c r="A1" s="65"/>
      <c r="B1" s="65"/>
      <c r="C1" s="65"/>
      <c r="D1" s="65"/>
      <c r="E1" s="65"/>
      <c r="F1" s="65"/>
      <c r="G1" s="65"/>
      <c r="H1" s="65"/>
      <c r="I1" s="65"/>
      <c r="J1" s="65"/>
      <c r="K1" s="65"/>
      <c r="L1" s="65"/>
      <c r="M1" s="65"/>
      <c r="N1" s="65"/>
      <c r="O1" s="65"/>
      <c r="P1" s="65"/>
      <c r="Q1" s="65"/>
    </row>
    <row r="2" spans="1:18" ht="35.25" customHeight="1" x14ac:dyDescent="0.3">
      <c r="A2" s="65"/>
      <c r="B2" s="61" t="s">
        <v>77</v>
      </c>
      <c r="C2" s="319" t="s">
        <v>463</v>
      </c>
      <c r="D2" s="320"/>
      <c r="E2" s="320"/>
      <c r="F2" s="320"/>
      <c r="G2" s="320"/>
      <c r="H2" s="320"/>
      <c r="I2" s="320"/>
      <c r="J2" s="321"/>
      <c r="K2" s="65"/>
      <c r="L2" s="67"/>
      <c r="M2" s="67"/>
      <c r="N2" s="67"/>
      <c r="O2" s="65"/>
      <c r="P2" s="65"/>
      <c r="Q2" s="65"/>
    </row>
    <row r="3" spans="1:18" ht="20.25" customHeight="1" x14ac:dyDescent="0.55000000000000004">
      <c r="A3" s="65"/>
      <c r="B3" s="61" t="s">
        <v>138</v>
      </c>
      <c r="C3" s="59" t="s">
        <v>146</v>
      </c>
      <c r="D3" s="64" t="s">
        <v>139</v>
      </c>
      <c r="E3" s="60" t="s">
        <v>253</v>
      </c>
      <c r="F3" s="150">
        <f>(C3*365.25)-(1900*365.25)+91</f>
        <v>45747.25</v>
      </c>
      <c r="G3" s="65"/>
      <c r="H3" s="65"/>
      <c r="I3" s="65"/>
      <c r="J3" s="65"/>
      <c r="K3" s="65"/>
      <c r="L3" s="67"/>
      <c r="M3" s="67"/>
      <c r="N3" s="67"/>
      <c r="O3" s="65"/>
      <c r="P3" s="65"/>
      <c r="Q3" s="65"/>
    </row>
    <row r="4" spans="1:18" ht="20.25" customHeight="1" x14ac:dyDescent="0.55000000000000004">
      <c r="A4" s="65"/>
      <c r="B4" s="61" t="s">
        <v>140</v>
      </c>
      <c r="C4" s="59" t="s">
        <v>253</v>
      </c>
      <c r="D4" s="64" t="s">
        <v>139</v>
      </c>
      <c r="E4" s="60" t="s">
        <v>483</v>
      </c>
      <c r="F4" s="65"/>
      <c r="G4" s="65"/>
      <c r="H4" s="65"/>
      <c r="I4" s="65"/>
      <c r="J4" s="65"/>
      <c r="K4" s="65"/>
      <c r="L4" s="65"/>
      <c r="M4" s="65"/>
      <c r="N4" s="65"/>
      <c r="O4" s="65"/>
      <c r="P4" s="65"/>
      <c r="Q4" s="65"/>
    </row>
    <row r="5" spans="1:18" ht="24.9" customHeight="1" x14ac:dyDescent="0.3">
      <c r="A5" s="65"/>
      <c r="B5" s="62" t="s">
        <v>23</v>
      </c>
      <c r="C5" s="43"/>
      <c r="D5" s="65"/>
      <c r="E5" s="325" t="s">
        <v>45</v>
      </c>
      <c r="F5" s="325"/>
      <c r="G5" s="325"/>
      <c r="H5" s="325"/>
      <c r="I5" s="325"/>
      <c r="J5" s="325"/>
      <c r="K5" s="65"/>
      <c r="L5" s="65"/>
      <c r="M5" s="65"/>
      <c r="N5" s="65"/>
      <c r="O5" s="65"/>
      <c r="P5" s="65"/>
      <c r="Q5" s="65"/>
      <c r="R5" s="42" t="s">
        <v>94</v>
      </c>
    </row>
    <row r="6" spans="1:18" ht="40.799999999999997" customHeight="1" x14ac:dyDescent="0.3">
      <c r="A6" s="65"/>
      <c r="B6" s="62" t="s">
        <v>24</v>
      </c>
      <c r="C6" s="44"/>
      <c r="D6" s="65"/>
      <c r="E6" s="12" t="s">
        <v>141</v>
      </c>
      <c r="F6" s="9" t="s">
        <v>40</v>
      </c>
      <c r="G6" s="9" t="s">
        <v>47</v>
      </c>
      <c r="H6" s="10" t="s">
        <v>48</v>
      </c>
      <c r="I6" s="10" t="s">
        <v>49</v>
      </c>
      <c r="J6" s="10" t="s">
        <v>50</v>
      </c>
      <c r="K6" s="65"/>
      <c r="L6" s="65"/>
      <c r="M6" s="65"/>
      <c r="N6" s="65"/>
      <c r="O6" s="65"/>
      <c r="P6" s="65"/>
      <c r="Q6" s="65"/>
      <c r="R6" s="42" t="s">
        <v>95</v>
      </c>
    </row>
    <row r="7" spans="1:18" ht="24.9" customHeight="1" x14ac:dyDescent="0.3">
      <c r="A7" s="65"/>
      <c r="B7" s="62" t="s">
        <v>25</v>
      </c>
      <c r="C7" s="43"/>
      <c r="D7" s="65"/>
      <c r="E7" s="11" t="str">
        <f>IF( (C19&gt;0),"Child-1", "")</f>
        <v/>
      </c>
      <c r="F7" s="54"/>
      <c r="G7" s="54"/>
      <c r="H7" s="54"/>
      <c r="I7" s="54"/>
      <c r="J7" s="68">
        <f>IF(AND(H7&lt;&gt;"", I7&lt;&gt;""), H7, 0)</f>
        <v>0</v>
      </c>
      <c r="K7" s="65"/>
      <c r="L7" s="65"/>
      <c r="M7" s="65"/>
      <c r="N7" s="65"/>
      <c r="O7" s="65"/>
      <c r="P7" s="65"/>
      <c r="Q7" s="65"/>
      <c r="R7" s="42" t="s">
        <v>78</v>
      </c>
    </row>
    <row r="8" spans="1:18" ht="24.9" customHeight="1" x14ac:dyDescent="0.3">
      <c r="A8" s="65"/>
      <c r="B8" s="62" t="s">
        <v>26</v>
      </c>
      <c r="C8" s="45"/>
      <c r="D8" s="65"/>
      <c r="E8" s="11" t="str">
        <f>IF( (C19&gt;1),"Child-2", "")</f>
        <v/>
      </c>
      <c r="F8" s="54"/>
      <c r="G8" s="54"/>
      <c r="H8" s="54"/>
      <c r="I8" s="54"/>
      <c r="J8" s="68">
        <f>IF(AND(H8&lt;&gt;"", I8&lt;&gt;""), H8, 0)</f>
        <v>0</v>
      </c>
      <c r="K8" s="65"/>
      <c r="L8" s="65"/>
      <c r="M8" s="65"/>
      <c r="N8" s="65"/>
      <c r="O8" s="65"/>
      <c r="P8" s="65"/>
      <c r="Q8" s="65"/>
      <c r="R8" s="42" t="s">
        <v>96</v>
      </c>
    </row>
    <row r="9" spans="1:18" ht="24.9" customHeight="1" x14ac:dyDescent="0.3">
      <c r="A9" s="65"/>
      <c r="B9" s="62" t="s">
        <v>41</v>
      </c>
      <c r="C9" s="46"/>
      <c r="D9" s="65"/>
      <c r="E9" s="316" t="s">
        <v>30</v>
      </c>
      <c r="F9" s="317"/>
      <c r="G9" s="317"/>
      <c r="H9" s="317"/>
      <c r="I9" s="318"/>
      <c r="J9" s="69">
        <f>SUM(J7:J8)</f>
        <v>0</v>
      </c>
      <c r="K9" s="65"/>
      <c r="L9" s="65"/>
      <c r="M9" s="65"/>
      <c r="N9" s="65"/>
      <c r="O9" s="65"/>
      <c r="P9" s="65"/>
      <c r="Q9" s="65"/>
      <c r="R9" s="42" t="s">
        <v>79</v>
      </c>
    </row>
    <row r="10" spans="1:18" ht="24.9" customHeight="1" x14ac:dyDescent="0.3">
      <c r="A10" s="65"/>
      <c r="B10" s="62" t="s">
        <v>42</v>
      </c>
      <c r="C10" s="47"/>
      <c r="D10" s="65"/>
      <c r="E10" s="65"/>
      <c r="F10" s="65"/>
      <c r="G10" s="65"/>
      <c r="H10" s="65"/>
      <c r="I10" s="65"/>
      <c r="J10" s="65"/>
      <c r="K10" s="65"/>
      <c r="L10" s="65"/>
      <c r="M10" s="65"/>
      <c r="N10" s="65"/>
      <c r="O10" s="65"/>
      <c r="P10" s="65"/>
      <c r="Q10" s="65"/>
      <c r="R10" s="42" t="s">
        <v>80</v>
      </c>
    </row>
    <row r="11" spans="1:18" ht="24.9" customHeight="1" x14ac:dyDescent="0.3">
      <c r="A11" s="65"/>
      <c r="B11" s="62" t="s">
        <v>43</v>
      </c>
      <c r="C11" s="48"/>
      <c r="D11" s="65"/>
      <c r="E11" s="312" t="s">
        <v>51</v>
      </c>
      <c r="F11" s="313"/>
      <c r="G11" s="313"/>
      <c r="H11" s="314"/>
      <c r="I11" s="65"/>
      <c r="J11" s="326" t="s">
        <v>64</v>
      </c>
      <c r="K11" s="326"/>
      <c r="L11" s="326"/>
      <c r="M11" s="326"/>
      <c r="N11" s="326"/>
      <c r="O11" s="326"/>
      <c r="P11" s="326"/>
      <c r="Q11" s="65"/>
      <c r="R11" s="42" t="s">
        <v>81</v>
      </c>
    </row>
    <row r="12" spans="1:18" ht="30.75" customHeight="1" x14ac:dyDescent="0.3">
      <c r="A12" s="65"/>
      <c r="B12" s="62" t="s">
        <v>52</v>
      </c>
      <c r="C12" s="49"/>
      <c r="D12" s="65"/>
      <c r="E12" s="306" t="s">
        <v>142</v>
      </c>
      <c r="F12" s="307"/>
      <c r="G12" s="308"/>
      <c r="H12" s="9" t="s">
        <v>31</v>
      </c>
      <c r="I12" s="65"/>
      <c r="J12" s="306" t="s">
        <v>61</v>
      </c>
      <c r="K12" s="307"/>
      <c r="L12" s="308"/>
      <c r="M12" s="9" t="s">
        <v>59</v>
      </c>
      <c r="N12" s="9" t="s">
        <v>58</v>
      </c>
      <c r="O12" s="9" t="s">
        <v>65</v>
      </c>
      <c r="P12" s="9" t="s">
        <v>60</v>
      </c>
      <c r="Q12" s="65"/>
      <c r="R12" s="42" t="s">
        <v>82</v>
      </c>
    </row>
    <row r="13" spans="1:18" ht="24.9" customHeight="1" x14ac:dyDescent="0.3">
      <c r="A13" s="65"/>
      <c r="B13" s="61" t="s">
        <v>75</v>
      </c>
      <c r="C13" s="50"/>
      <c r="D13" s="65"/>
      <c r="E13" s="322" t="str">
        <f>IF( (C20&gt;0), "Child-1","")</f>
        <v/>
      </c>
      <c r="F13" s="323"/>
      <c r="G13" s="324"/>
      <c r="H13" s="72"/>
      <c r="I13" s="65"/>
      <c r="J13" s="300"/>
      <c r="K13" s="301"/>
      <c r="L13" s="302"/>
      <c r="M13" s="55"/>
      <c r="N13" s="55"/>
      <c r="O13" s="55"/>
      <c r="P13" s="70">
        <f>IF(M13&lt;&gt;"",N13*O13%, 0)</f>
        <v>0</v>
      </c>
      <c r="Q13" s="65"/>
      <c r="R13" s="42" t="s">
        <v>83</v>
      </c>
    </row>
    <row r="14" spans="1:18" ht="26.25" customHeight="1" x14ac:dyDescent="0.3">
      <c r="A14" s="65"/>
      <c r="B14" s="61" t="s">
        <v>254</v>
      </c>
      <c r="C14" s="51"/>
      <c r="D14" s="65"/>
      <c r="E14" s="322" t="str">
        <f>IF( (C20&gt;1),"Child-2","")</f>
        <v/>
      </c>
      <c r="F14" s="323"/>
      <c r="G14" s="324"/>
      <c r="H14" s="72"/>
      <c r="I14" s="65"/>
      <c r="J14" s="300"/>
      <c r="K14" s="301"/>
      <c r="L14" s="302"/>
      <c r="M14" s="55"/>
      <c r="N14" s="55"/>
      <c r="O14" s="55"/>
      <c r="P14" s="70">
        <f>IF(M14&lt;&gt;"",N14*O14%, 0)</f>
        <v>0</v>
      </c>
      <c r="Q14" s="65"/>
      <c r="R14" s="42" t="s">
        <v>84</v>
      </c>
    </row>
    <row r="15" spans="1:18" ht="26.25" customHeight="1" x14ac:dyDescent="0.3">
      <c r="A15" s="65"/>
      <c r="B15" s="61" t="s">
        <v>143</v>
      </c>
      <c r="C15" s="51"/>
      <c r="D15" s="65"/>
      <c r="E15" s="316" t="s">
        <v>62</v>
      </c>
      <c r="F15" s="317"/>
      <c r="G15" s="318"/>
      <c r="H15" s="11">
        <f>SUM(H13:H14)</f>
        <v>0</v>
      </c>
      <c r="I15" s="65"/>
      <c r="J15" s="300"/>
      <c r="K15" s="301"/>
      <c r="L15" s="302"/>
      <c r="M15" s="55"/>
      <c r="N15" s="55"/>
      <c r="O15" s="55"/>
      <c r="P15" s="70">
        <f t="shared" ref="P15:P16" si="0">IF(M15&lt;&gt;"",N15*O15%, 0)</f>
        <v>0</v>
      </c>
      <c r="Q15" s="65"/>
      <c r="R15" s="42"/>
    </row>
    <row r="16" spans="1:18" ht="26.25" customHeight="1" x14ac:dyDescent="0.3">
      <c r="A16" s="65"/>
      <c r="B16" s="61" t="s">
        <v>255</v>
      </c>
      <c r="C16" s="51"/>
      <c r="D16" s="65"/>
      <c r="E16" s="78"/>
      <c r="F16" s="78"/>
      <c r="G16" s="78"/>
      <c r="H16" s="79"/>
      <c r="I16" s="65"/>
      <c r="J16" s="300"/>
      <c r="K16" s="301"/>
      <c r="L16" s="302"/>
      <c r="M16" s="55"/>
      <c r="N16" s="55"/>
      <c r="O16" s="55"/>
      <c r="P16" s="70">
        <f t="shared" si="0"/>
        <v>0</v>
      </c>
      <c r="Q16" s="65"/>
      <c r="R16" s="42"/>
    </row>
    <row r="17" spans="1:18" ht="26.25" customHeight="1" x14ac:dyDescent="0.3">
      <c r="A17" s="65"/>
      <c r="B17" s="61" t="s">
        <v>144</v>
      </c>
      <c r="C17" s="51"/>
      <c r="D17" s="65"/>
      <c r="E17" s="315" t="s">
        <v>495</v>
      </c>
      <c r="F17" s="315"/>
      <c r="G17" s="315"/>
      <c r="H17" s="297" t="s">
        <v>496</v>
      </c>
      <c r="I17" s="65"/>
      <c r="J17" s="300"/>
      <c r="K17" s="301"/>
      <c r="L17" s="302"/>
      <c r="M17" s="55"/>
      <c r="N17" s="55"/>
      <c r="O17" s="55"/>
      <c r="P17" s="70">
        <f>IF(M17&lt;&gt;"",N17*O17%, 0)</f>
        <v>0</v>
      </c>
      <c r="Q17" s="65"/>
      <c r="R17" s="42"/>
    </row>
    <row r="18" spans="1:18" ht="34.35" customHeight="1" x14ac:dyDescent="0.3">
      <c r="A18" s="65"/>
      <c r="B18" s="61" t="s">
        <v>145</v>
      </c>
      <c r="C18" s="51"/>
      <c r="D18" s="65"/>
      <c r="E18" s="65"/>
      <c r="F18" s="65"/>
      <c r="G18" s="65"/>
      <c r="H18" s="65"/>
      <c r="I18" s="65"/>
      <c r="J18" s="303" t="s">
        <v>57</v>
      </c>
      <c r="K18" s="304"/>
      <c r="L18" s="305"/>
      <c r="M18" s="14"/>
      <c r="N18" s="14">
        <f>SUM(N13:N17)</f>
        <v>0</v>
      </c>
      <c r="O18" s="14"/>
      <c r="P18" s="71">
        <f>SUM(P13:P17)</f>
        <v>0</v>
      </c>
      <c r="Q18" s="65"/>
      <c r="R18" s="42"/>
    </row>
    <row r="19" spans="1:18" ht="35.25" customHeight="1" x14ac:dyDescent="0.3">
      <c r="A19" s="65"/>
      <c r="B19" s="63" t="s">
        <v>76</v>
      </c>
      <c r="C19" s="52"/>
      <c r="D19" s="65"/>
      <c r="E19" s="312" t="s">
        <v>53</v>
      </c>
      <c r="F19" s="313"/>
      <c r="G19" s="313"/>
      <c r="H19" s="314"/>
      <c r="I19" s="65"/>
      <c r="J19" s="65"/>
      <c r="K19" s="65"/>
      <c r="L19" s="65"/>
      <c r="M19" s="65"/>
      <c r="N19" s="65"/>
      <c r="O19" s="65"/>
      <c r="P19" s="65"/>
      <c r="Q19" s="65"/>
      <c r="R19" s="42" t="s">
        <v>85</v>
      </c>
    </row>
    <row r="20" spans="1:18" ht="35.25" customHeight="1" x14ac:dyDescent="0.3">
      <c r="A20" s="65"/>
      <c r="B20" s="63" t="s">
        <v>46</v>
      </c>
      <c r="C20" s="50"/>
      <c r="D20" s="65"/>
      <c r="E20" s="306" t="s">
        <v>54</v>
      </c>
      <c r="F20" s="307"/>
      <c r="G20" s="308"/>
      <c r="H20" s="9" t="s">
        <v>55</v>
      </c>
      <c r="I20" s="65"/>
      <c r="J20" s="312" t="s">
        <v>246</v>
      </c>
      <c r="K20" s="313"/>
      <c r="L20" s="313"/>
      <c r="M20" s="314"/>
      <c r="N20" s="65"/>
      <c r="O20" s="65"/>
      <c r="P20" s="65"/>
      <c r="Q20" s="65"/>
      <c r="R20" s="42" t="s">
        <v>86</v>
      </c>
    </row>
    <row r="21" spans="1:18" ht="33" customHeight="1" x14ac:dyDescent="0.3">
      <c r="A21" s="65"/>
      <c r="B21" s="74" t="s">
        <v>515</v>
      </c>
      <c r="C21" s="53"/>
      <c r="D21" s="65"/>
      <c r="E21" s="309" t="s">
        <v>56</v>
      </c>
      <c r="F21" s="310"/>
      <c r="G21" s="311"/>
      <c r="H21" s="73"/>
      <c r="I21" s="65"/>
      <c r="J21" s="306" t="s">
        <v>149</v>
      </c>
      <c r="K21" s="307"/>
      <c r="L21" s="308"/>
      <c r="M21" s="9" t="s">
        <v>57</v>
      </c>
      <c r="N21" s="65"/>
      <c r="O21" s="65"/>
      <c r="P21" s="65"/>
      <c r="Q21" s="65"/>
      <c r="R21" s="42" t="s">
        <v>97</v>
      </c>
    </row>
    <row r="22" spans="1:18" ht="33" customHeight="1" x14ac:dyDescent="0.3">
      <c r="A22" s="65"/>
      <c r="B22" s="74" t="s">
        <v>514</v>
      </c>
      <c r="C22" s="53"/>
      <c r="D22" s="65"/>
      <c r="E22" s="137"/>
      <c r="F22" s="138"/>
      <c r="G22" s="139"/>
      <c r="H22" s="73"/>
      <c r="I22" s="65"/>
      <c r="J22" s="134"/>
      <c r="K22" s="135"/>
      <c r="L22" s="136"/>
      <c r="M22" s="9"/>
      <c r="N22" s="65"/>
      <c r="O22" s="65"/>
      <c r="P22" s="65"/>
      <c r="Q22" s="65"/>
      <c r="R22" s="42"/>
    </row>
    <row r="23" spans="1:18" ht="24.9" customHeight="1" x14ac:dyDescent="0.3">
      <c r="A23" s="65"/>
      <c r="B23" s="63" t="s">
        <v>37</v>
      </c>
      <c r="C23" s="56">
        <f>EOMONTH((E3*365.25)-(1900*365.25),3)</f>
        <v>46112</v>
      </c>
      <c r="D23" s="65"/>
      <c r="E23" s="309" t="s">
        <v>66</v>
      </c>
      <c r="F23" s="310"/>
      <c r="G23" s="311"/>
      <c r="H23" s="73"/>
      <c r="I23" s="65"/>
      <c r="J23" s="309" t="s">
        <v>247</v>
      </c>
      <c r="K23" s="310"/>
      <c r="L23" s="311"/>
      <c r="M23" s="72"/>
      <c r="N23" s="65"/>
      <c r="O23" s="65"/>
      <c r="P23" s="65"/>
      <c r="Q23" s="65"/>
      <c r="R23" s="42" t="s">
        <v>98</v>
      </c>
    </row>
    <row r="24" spans="1:18" ht="24.9" customHeight="1" x14ac:dyDescent="0.3">
      <c r="A24" s="65"/>
      <c r="B24" s="63" t="s">
        <v>28</v>
      </c>
      <c r="C24" s="77">
        <f>IF(C21="", 0, (C23-C21)/365.25)</f>
        <v>0</v>
      </c>
      <c r="D24" s="65"/>
      <c r="E24" s="316" t="s">
        <v>57</v>
      </c>
      <c r="F24" s="317"/>
      <c r="G24" s="318"/>
      <c r="H24" s="13">
        <f>SUM(H21:H23)</f>
        <v>0</v>
      </c>
      <c r="I24" s="65"/>
      <c r="J24" s="316" t="s">
        <v>248</v>
      </c>
      <c r="K24" s="317"/>
      <c r="L24" s="318"/>
      <c r="M24" s="83">
        <f>M23</f>
        <v>0</v>
      </c>
      <c r="N24" s="65"/>
      <c r="O24" s="65"/>
      <c r="P24" s="65"/>
      <c r="Q24" s="65"/>
      <c r="R24" s="42" t="s">
        <v>99</v>
      </c>
    </row>
    <row r="25" spans="1:18" ht="24.9" customHeight="1" x14ac:dyDescent="0.3">
      <c r="A25" s="65"/>
      <c r="B25" s="63" t="s">
        <v>29</v>
      </c>
      <c r="C25" s="57" t="str">
        <f>IF(C24&gt;=60,"YES","NO")</f>
        <v>NO</v>
      </c>
      <c r="D25" s="65"/>
      <c r="E25" s="65"/>
      <c r="F25" s="65"/>
      <c r="G25" s="65"/>
      <c r="H25" s="65"/>
      <c r="I25" s="65"/>
      <c r="J25" s="66"/>
      <c r="K25" s="65"/>
      <c r="L25" s="65"/>
      <c r="M25" s="65"/>
      <c r="N25" s="65"/>
      <c r="O25" s="65"/>
      <c r="P25" s="65"/>
      <c r="Q25" s="65"/>
      <c r="R25" s="42" t="s">
        <v>100</v>
      </c>
    </row>
    <row r="26" spans="1:18" ht="9.75" customHeight="1" x14ac:dyDescent="0.3">
      <c r="A26" s="65"/>
      <c r="B26" s="65"/>
      <c r="C26" s="75"/>
      <c r="D26" s="65"/>
      <c r="E26" s="65"/>
      <c r="F26" s="65"/>
      <c r="G26" s="65"/>
      <c r="H26" s="65"/>
      <c r="I26" s="65"/>
      <c r="J26" s="66"/>
      <c r="K26" s="65"/>
      <c r="L26" s="65"/>
      <c r="M26" s="65"/>
      <c r="N26" s="65"/>
      <c r="O26" s="65"/>
      <c r="P26" s="65"/>
      <c r="Q26" s="65"/>
      <c r="R26" s="42" t="s">
        <v>101</v>
      </c>
    </row>
    <row r="27" spans="1:18" hidden="1" x14ac:dyDescent="0.3">
      <c r="A27" s="65"/>
      <c r="B27" s="65"/>
      <c r="C27" s="65"/>
      <c r="D27" s="65"/>
      <c r="E27" s="65"/>
      <c r="F27" s="65"/>
      <c r="G27" s="65"/>
      <c r="H27" s="65"/>
      <c r="I27" s="65"/>
      <c r="N27" s="65"/>
      <c r="O27" s="65"/>
      <c r="P27" s="65"/>
      <c r="Q27" s="65"/>
      <c r="R27" s="42" t="s">
        <v>102</v>
      </c>
    </row>
    <row r="28" spans="1:18" hidden="1" x14ac:dyDescent="0.3">
      <c r="R28" s="42" t="s">
        <v>103</v>
      </c>
    </row>
    <row r="29" spans="1:18" hidden="1" x14ac:dyDescent="0.3">
      <c r="R29" s="42" t="s">
        <v>104</v>
      </c>
    </row>
    <row r="30" spans="1:18" ht="37.5" hidden="1" customHeight="1" x14ac:dyDescent="0.3">
      <c r="B30" s="58"/>
      <c r="R30" s="42" t="s">
        <v>105</v>
      </c>
    </row>
    <row r="31" spans="1:18" hidden="1" x14ac:dyDescent="0.3">
      <c r="R31" s="42" t="s">
        <v>106</v>
      </c>
    </row>
    <row r="32" spans="1:18" hidden="1" x14ac:dyDescent="0.3">
      <c r="R32" s="42" t="s">
        <v>107</v>
      </c>
    </row>
    <row r="33" spans="18:18" hidden="1" x14ac:dyDescent="0.3">
      <c r="R33" s="42" t="s">
        <v>108</v>
      </c>
    </row>
    <row r="34" spans="18:18" hidden="1" x14ac:dyDescent="0.3">
      <c r="R34" s="42" t="s">
        <v>109</v>
      </c>
    </row>
    <row r="35" spans="18:18" hidden="1" x14ac:dyDescent="0.3">
      <c r="R35" s="42" t="s">
        <v>110</v>
      </c>
    </row>
    <row r="36" spans="18:18" hidden="1" x14ac:dyDescent="0.3">
      <c r="R36" s="42" t="s">
        <v>111</v>
      </c>
    </row>
    <row r="37" spans="18:18" hidden="1" x14ac:dyDescent="0.3">
      <c r="R37" s="42" t="s">
        <v>112</v>
      </c>
    </row>
    <row r="38" spans="18:18" hidden="1" x14ac:dyDescent="0.3">
      <c r="R38" s="42" t="s">
        <v>113</v>
      </c>
    </row>
    <row r="39" spans="18:18" hidden="1" x14ac:dyDescent="0.3">
      <c r="R39" s="42" t="s">
        <v>114</v>
      </c>
    </row>
    <row r="40" spans="18:18" hidden="1" x14ac:dyDescent="0.3">
      <c r="R40" s="42" t="s">
        <v>115</v>
      </c>
    </row>
    <row r="41" spans="18:18" hidden="1" x14ac:dyDescent="0.3">
      <c r="R41" s="42" t="s">
        <v>116</v>
      </c>
    </row>
    <row r="42" spans="18:18" hidden="1" x14ac:dyDescent="0.3">
      <c r="R42" s="42" t="s">
        <v>117</v>
      </c>
    </row>
    <row r="43" spans="18:18" hidden="1" x14ac:dyDescent="0.3">
      <c r="R43" s="42" t="s">
        <v>118</v>
      </c>
    </row>
    <row r="44" spans="18:18" hidden="1" x14ac:dyDescent="0.3">
      <c r="R44" s="42" t="s">
        <v>87</v>
      </c>
    </row>
    <row r="45" spans="18:18" hidden="1" x14ac:dyDescent="0.3">
      <c r="R45" s="42" t="s">
        <v>88</v>
      </c>
    </row>
    <row r="46" spans="18:18" hidden="1" x14ac:dyDescent="0.3">
      <c r="R46" s="42" t="s">
        <v>89</v>
      </c>
    </row>
    <row r="47" spans="18:18" hidden="1" x14ac:dyDescent="0.3">
      <c r="R47" s="42" t="s">
        <v>90</v>
      </c>
    </row>
    <row r="48" spans="18:18" hidden="1" x14ac:dyDescent="0.3">
      <c r="R48" s="42" t="s">
        <v>119</v>
      </c>
    </row>
    <row r="49" spans="18:18" hidden="1" x14ac:dyDescent="0.3">
      <c r="R49" s="42" t="s">
        <v>91</v>
      </c>
    </row>
    <row r="50" spans="18:18" hidden="1" x14ac:dyDescent="0.3">
      <c r="R50" s="42" t="s">
        <v>92</v>
      </c>
    </row>
    <row r="51" spans="18:18" hidden="1" x14ac:dyDescent="0.3">
      <c r="R51" s="42" t="s">
        <v>120</v>
      </c>
    </row>
    <row r="52" spans="18:18" hidden="1" x14ac:dyDescent="0.3">
      <c r="R52" s="42" t="s">
        <v>121</v>
      </c>
    </row>
    <row r="53" spans="18:18" hidden="1" x14ac:dyDescent="0.3">
      <c r="R53" s="42" t="s">
        <v>122</v>
      </c>
    </row>
    <row r="54" spans="18:18" hidden="1" x14ac:dyDescent="0.3">
      <c r="R54" s="42" t="s">
        <v>123</v>
      </c>
    </row>
    <row r="55" spans="18:18" hidden="1" x14ac:dyDescent="0.3">
      <c r="R55" s="42" t="s">
        <v>124</v>
      </c>
    </row>
    <row r="56" spans="18:18" hidden="1" x14ac:dyDescent="0.3">
      <c r="R56" s="42" t="s">
        <v>125</v>
      </c>
    </row>
    <row r="57" spans="18:18" hidden="1" x14ac:dyDescent="0.3">
      <c r="R57" s="42" t="s">
        <v>463</v>
      </c>
    </row>
    <row r="58" spans="18:18" hidden="1" x14ac:dyDescent="0.3">
      <c r="R58" s="42" t="s">
        <v>126</v>
      </c>
    </row>
    <row r="59" spans="18:18" hidden="1" x14ac:dyDescent="0.3">
      <c r="R59" s="42" t="s">
        <v>127</v>
      </c>
    </row>
    <row r="60" spans="18:18" hidden="1" x14ac:dyDescent="0.3">
      <c r="R60" s="42" t="s">
        <v>128</v>
      </c>
    </row>
    <row r="61" spans="18:18" hidden="1" x14ac:dyDescent="0.3">
      <c r="R61" s="42" t="s">
        <v>93</v>
      </c>
    </row>
  </sheetData>
  <sheetProtection algorithmName="SHA-512" hashValue="rqLz0JsgyenMXcTmYzbqhKcBBa5ghqzzWyIJtZfLirGib3slvQvIY/WDQtezU1c03ha59SOngz4L9/p29vGnDg==" saltValue="odzSoX3MV10EK741oHfDzw==" spinCount="100000" sheet="1" selectLockedCells="1"/>
  <customSheetViews>
    <customSheetView guid="{FB1B2773-2708-4BC7-98F1-55C7E60B40D3}" printArea="1" topLeftCell="A7">
      <selection activeCell="B1" sqref="B1:G25"/>
      <pageMargins left="0.7" right="0.7" top="0.75" bottom="0.75" header="0.3" footer="0.3"/>
      <pageSetup orientation="portrait" horizontalDpi="0" verticalDpi="0" r:id="rId1"/>
    </customSheetView>
  </customSheetViews>
  <mergeCells count="26">
    <mergeCell ref="J24:L24"/>
    <mergeCell ref="C2:J2"/>
    <mergeCell ref="E13:G13"/>
    <mergeCell ref="E14:G14"/>
    <mergeCell ref="E15:G15"/>
    <mergeCell ref="E5:J5"/>
    <mergeCell ref="E9:I9"/>
    <mergeCell ref="J11:P11"/>
    <mergeCell ref="J14:L14"/>
    <mergeCell ref="E11:H11"/>
    <mergeCell ref="E12:G12"/>
    <mergeCell ref="J15:L15"/>
    <mergeCell ref="J13:L13"/>
    <mergeCell ref="J12:L12"/>
    <mergeCell ref="J17:L17"/>
    <mergeCell ref="E24:G24"/>
    <mergeCell ref="J16:L16"/>
    <mergeCell ref="J18:L18"/>
    <mergeCell ref="E20:G20"/>
    <mergeCell ref="E21:G21"/>
    <mergeCell ref="E23:G23"/>
    <mergeCell ref="E19:H19"/>
    <mergeCell ref="J20:M20"/>
    <mergeCell ref="J21:L21"/>
    <mergeCell ref="J23:L23"/>
    <mergeCell ref="E17:G17"/>
  </mergeCells>
  <dataValidations xWindow="369" yWindow="358" count="36">
    <dataValidation type="list" showInputMessage="1" showErrorMessage="1" prompt="Select 7th CPC Table Matrix No. from drop down menu" sqref="C13" xr:uid="{16941689-D3FC-4283-A40B-F94F9EA61390}">
      <formula1>"NA,1,2,3,4,5,6,7,8,9,10,11,12,13,13A,14,15,16,17,18"</formula1>
    </dataValidation>
    <dataValidation allowBlank="1" showInputMessage="1" showErrorMessage="1" sqref="C23" xr:uid="{DBE47E2D-801B-4671-9655-14375B778B22}"/>
    <dataValidation type="list" showInputMessage="1" showErrorMessage="1" promptTitle="Gender" prompt="Select from drop down menu" sqref="C6" xr:uid="{2F23D962-5A3D-4037-81E2-9519DDD6B859}">
      <formula1>"Male, Female"</formula1>
    </dataValidation>
    <dataValidation type="textLength" allowBlank="1" showInputMessage="1" showErrorMessage="1" promptTitle="Name" prompt="Enter your Name" sqref="C5" xr:uid="{377FE03F-A376-4C46-B65B-3A0145B3E823}">
      <formula1>1</formula1>
      <formula2>60</formula2>
    </dataValidation>
    <dataValidation type="whole" allowBlank="1" showInputMessage="1" showErrorMessage="1" errorTitle="Number error" error="The maximum number of children for claiming tax savings is only 2" promptTitle="Number" prompt="Enter the number of Children 0 to 2 only" sqref="C19" xr:uid="{8CE7D05D-B417-4E20-B3E2-548A5368B10D}">
      <formula1>0</formula1>
      <formula2>2</formula2>
    </dataValidation>
    <dataValidation type="date" operator="greaterThan" showInputMessage="1" showErrorMessage="1" error="Enter correct format of date as in the next line" promptTitle="Date format" prompt="Please enter date format as found in the next line " sqref="C21" xr:uid="{D2EECDAA-F74F-4EFC-BFC8-AC1EEE0DD360}">
      <formula1>1</formula1>
    </dataValidation>
    <dataValidation type="textLength" operator="equal" showInputMessage="1" showErrorMessage="1" errorTitle="PAN No" error="PAN Number should be in the form ABCDE0000F" promptTitle="PAN No." prompt="Enter correct PAN (Format: ABCDE0000F)" sqref="C8" xr:uid="{FCF38AFA-6CDF-4EB7-B1B5-EE6C47066B90}">
      <formula1>10</formula1>
    </dataValidation>
    <dataValidation type="whole" allowBlank="1" showInputMessage="1" showErrorMessage="1" errorTitle="Cell No." error="Cell Number should be 10 digits" promptTitle="Cell No." prompt="Enter the Aadhar linked Cell No (Format: 9999999999)" sqref="C9" xr:uid="{9EB7D8D3-6487-40C9-A065-D21EF10B4DFF}">
      <formula1>0</formula1>
      <formula2>9999999999</formula2>
    </dataValidation>
    <dataValidation operator="equal" showInputMessage="1" showErrorMessage="1" promptTitle="Email ID" prompt="Enter correct Email ID (Format: example@mail provider)" sqref="C10" xr:uid="{5A265221-8319-4395-84F0-0063740A1A8C}"/>
    <dataValidation type="textLength" showInputMessage="1" showErrorMessage="1" errorTitle="SB No." error="SB Account No. should be between 5 and 11 digits" promptTitle="Savings Bank Account No." prompt="Enter Correct SB Account No. of 5 to 11 digits" sqref="C11" xr:uid="{B6C87445-7DDD-4728-9012-C3539DE23DDA}">
      <formula1>5</formula1>
      <formula2>11</formula2>
    </dataValidation>
    <dataValidation type="decimal" allowBlank="1" showInputMessage="1" showErrorMessage="1" errorTitle="Number error" error="The maximum number of children for claiming tax savings is only 2" promptTitle="Number" prompt="Enter the number of Children 0 to 2 only" sqref="C20" xr:uid="{D5050B36-6396-40D0-B70D-6C633C1C7005}">
      <formula1>0</formula1>
      <formula2>2</formula2>
    </dataValidation>
    <dataValidation type="list" allowBlank="1" showInputMessage="1" showErrorMessage="1" prompt="Please select from the drop down list" sqref="F7:F8" xr:uid="{8488EA06-7A2B-428A-A516-C8E950E2463D}">
      <formula1>"Dayscholar, Hosteller"</formula1>
    </dataValidation>
    <dataValidation type="list" showInputMessage="1" showErrorMessage="1" errorTitle="Select category" error="Please select whether &quot;Hosteller&quot; or &quot;Dayscholar&quot;" promptTitle="Percentage of CEA received" prompt="Please select the percentage of Children Education Allowance paid by the Employer" sqref="I7:I8" xr:uid="{EE7FCA0C-783F-4F01-A45A-C8993F8D2431}">
      <formula1>"25,50,75,100"</formula1>
    </dataValidation>
    <dataValidation type="textLength" operator="equal" allowBlank="1" showInputMessage="1" showErrorMessage="1" error="Only 12 digits. Type the Aadhar number continuously without space" prompt="Enter the 12 digit Aadhar number without any space" sqref="C12" xr:uid="{9AD7CB41-CA59-4E1D-B1BF-E1F7E6B760B4}">
      <formula1>12</formula1>
    </dataValidation>
    <dataValidation allowBlank="1" showInputMessage="1" showErrorMessage="1" promptTitle="Note" sqref="H21:H23" xr:uid="{43FBFC2A-9E18-471F-AEB4-D05AC3FC1D60}"/>
    <dataValidation operator="equal" showInputMessage="1" showErrorMessage="1" prompt="Enter 7th CPC basic pay during March" sqref="C14" xr:uid="{B4D0B903-4A80-4F6A-A09B-DF49E9CD4EA2}"/>
    <dataValidation type="list" operator="equal" showInputMessage="1" showErrorMessage="1" promptTitle="Non Practicing Allowance" prompt="Select Yes or No from drop down menu" sqref="C15:C16" xr:uid="{FBE505E0-C0E8-47E2-A06C-105A2DC1B335}">
      <formula1>"No, Yes"</formula1>
    </dataValidation>
    <dataValidation type="list" operator="equal" showInputMessage="1" showErrorMessage="1" promptTitle="Increment month" prompt="Select your Increment month July or January? If not eligible, select NA" sqref="C18" xr:uid="{CD0F9BED-99BE-4505-AF28-63A22C995174}">
      <formula1>"July, January, NA"</formula1>
    </dataValidation>
    <dataValidation type="list" showInputMessage="1" showErrorMessage="1" prompt="Select from the list" sqref="C2:J2" xr:uid="{30451FBD-4D11-4A4F-A879-B85EE5638F4D}">
      <formula1>$R$5:$R$62</formula1>
    </dataValidation>
    <dataValidation type="list" showInputMessage="1" showErrorMessage="1" prompt="Select from the list" sqref="E3 C4" xr:uid="{DD4D26FB-4173-4EDE-8A9F-542BCF533FC2}">
      <formula1>"2021,2022,2023,2024,2025,2026,2027,2028,2029,2030,2031"</formula1>
    </dataValidation>
    <dataValidation type="custom" showInputMessage="1" showErrorMessage="1" errorTitle="Donations" error="Kindly enter name of the Donee" promptTitle="Note" prompt="Government donations PAN  &quot;GGGGG0000G&quot;" sqref="M13" xr:uid="{E5E51F40-025B-4B8E-8FD4-3461BE68EF13}">
      <formula1>J13&lt;&gt;""</formula1>
    </dataValidation>
    <dataValidation type="custom" showInputMessage="1" showErrorMessage="1" errorTitle="Select category" error="Enter No. of school going children and select whether &quot;Hosteller&quot; or &quot;Dayscholar&quot;   " sqref="H7" xr:uid="{670F10A5-8D31-40B5-B736-40F2F1D2A063}">
      <formula1>AND(OR(C19&lt;&gt;0,C19&lt;&gt;""),F7&lt;&gt;"")</formula1>
    </dataValidation>
    <dataValidation type="custom" showInputMessage="1" showErrorMessage="1" errorTitle="Select category" error="Enter No. of school going children and select whether &quot;Hosteller&quot; or &quot;Dayscholar&quot;   " sqref="H8" xr:uid="{E104B64E-1316-46CC-A949-B94CAB5D111C}">
      <formula1>AND(OR(C19&lt;&gt;0,C19&lt;&gt;""),F8&lt;&gt;"")</formula1>
    </dataValidation>
    <dataValidation type="custom" showInputMessage="1" showErrorMessage="1" errorTitle="Tuition fees " error="Kindly enter the number of School/ college going children" promptTitle="Note" prompt="Only tuition fees and not any other fees paid is eligible for deduction under section 80C" sqref="H14" xr:uid="{FE5B690A-338A-4E8C-BA05-60DBCB98917B}">
      <formula1>AND(OR(C20&lt;&gt;0,C20&lt;&gt;""),E14&lt;&gt;"")</formula1>
    </dataValidation>
    <dataValidation type="list" allowBlank="1" showInputMessage="1" showErrorMessage="1" prompt="Government donations eligibility 100%" sqref="O13:O17" xr:uid="{EDEF7CDC-8562-41D1-8A21-5D2CC59691DF}">
      <formula1>"50, 100"</formula1>
    </dataValidation>
    <dataValidation type="custom" showInputMessage="1" showErrorMessage="1" errorTitle="Donations" error="Kindly enter name of the Donee" promptTitle="Note" prompt="PAN for Government donations is GGGGG0000G" sqref="M14:M17" xr:uid="{5D933D0D-54EC-448A-90F2-5514EA4E4FE3}">
      <formula1>J14&lt;&gt;""</formula1>
    </dataValidation>
    <dataValidation type="custom" showInputMessage="1" showErrorMessage="1" errorTitle="PAN of Donee" error="Kindly enter the PAN of Donee" sqref="N13:N17" xr:uid="{53C63CF3-B31B-4F0E-A84C-FFA71AF2EF90}">
      <formula1>M13&lt;&gt;""</formula1>
    </dataValidation>
    <dataValidation allowBlank="1" showInputMessage="1" showErrorMessage="1" promptTitle="Designation" prompt="Enter Designation" sqref="C7" xr:uid="{A724683D-8491-4A8A-AAC4-6B215F0051C4}"/>
    <dataValidation type="list" operator="equal" showInputMessage="1" showErrorMessage="1" promptTitle="Annual Increment eligibility? " prompt="Select Yes or No from drop down menu" sqref="C17" xr:uid="{99C192BA-5ADC-4510-91E4-F35311CDAF08}">
      <formula1>"Yes, No"</formula1>
    </dataValidation>
    <dataValidation type="list" allowBlank="1" showInputMessage="1" showErrorMessage="1" prompt="Please select from the drop down list" sqref="G7:G8" xr:uid="{1413E694-C847-4D54-AF6B-89F0FD432F10}">
      <formula1>"1, 2, 3, 4, 5"</formula1>
    </dataValidation>
    <dataValidation type="date" allowBlank="1" showInputMessage="1" showErrorMessage="1" error="Enter correct format of date as in the next line" promptTitle="Enter the date of retirement" prompt="Please enter the date of retirement in the required format" sqref="C22" xr:uid="{B3DBAD52-AD98-41AB-B00B-A944AC81AA35}">
      <formula1>45017</formula1>
      <formula2>73140</formula2>
    </dataValidation>
    <dataValidation type="list" showInputMessage="1" showErrorMessage="1" prompt="Select from the list" sqref="E4" xr:uid="{55A39064-9BA9-4D17-B226-91316D4631E7}">
      <formula1>"2021,2022,2023,2024,2025,2026,2027,2028,2029,2030,2031,2032"</formula1>
    </dataValidation>
    <dataValidation type="custom" showInputMessage="1" showErrorMessage="1" errorTitle="Tuition fees " error="Kindly enter the number of School/ college going children" promptTitle="Note" prompt="Only tuition fees and not any other fees paid is eligible for deduction under section 80C" sqref="H13" xr:uid="{5867FA40-2026-466A-B0B1-C41FF4E855A6}">
      <formula1>AND(OR(C20&lt;&gt;0,C20&lt;&gt;""),E13&lt;&gt;"")</formula1>
    </dataValidation>
    <dataValidation showInputMessage="1" showErrorMessage="1" errorTitle="Tuition fees " error="Kindly enter the number of School/ college going children" promptTitle="Note" prompt="Enter here the EL encashment amount received during the year" sqref="M23" xr:uid="{19928EAB-F9D5-436C-9C17-4A1CE19F854F}"/>
    <dataValidation type="list" showInputMessage="1" showErrorMessage="1" prompt="Select from the list" sqref="C3" xr:uid="{624BE11F-7DA3-458B-914C-AA20EDD9EEF4}">
      <formula1>"2021,2022,2023,2024,2025, 2026, 2027, 2028, 2029, 2030"</formula1>
    </dataValidation>
    <dataValidation type="list" showInputMessage="1" showErrorMessage="1" errorTitle="Select" error="Kindly select the tax regime (New or Old)" promptTitle="Tax regime" prompt="Essential to select tax regime" sqref="H17" xr:uid="{A53F62FD-4187-422E-B9D1-784F488DB712}">
      <formula1>"New regime, Old regime"</formula1>
    </dataValidation>
  </dataValidation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V26"/>
  <sheetViews>
    <sheetView showGridLines="0" zoomScale="80" zoomScaleNormal="80" workbookViewId="0">
      <selection activeCell="I5" sqref="I5"/>
    </sheetView>
  </sheetViews>
  <sheetFormatPr defaultColWidth="9.109375" defaultRowHeight="14.4" x14ac:dyDescent="0.3"/>
  <cols>
    <col min="1" max="1" width="2.88671875" customWidth="1"/>
    <col min="2" max="2" width="18" customWidth="1"/>
    <col min="3" max="3" width="15.88671875" hidden="1" customWidth="1"/>
    <col min="4" max="4" width="9.44140625" customWidth="1"/>
    <col min="5" max="5" width="8.109375" hidden="1" customWidth="1"/>
    <col min="6" max="6" width="9.109375" hidden="1" customWidth="1"/>
    <col min="7" max="7" width="8.109375" customWidth="1"/>
    <col min="8" max="8" width="6.6640625" customWidth="1"/>
    <col min="9" max="9" width="7.109375" customWidth="1"/>
    <col min="10" max="10" width="7.44140625" customWidth="1"/>
    <col min="11" max="11" width="9.6640625" customWidth="1"/>
    <col min="12" max="12" width="7.33203125" customWidth="1"/>
    <col min="13" max="13" width="7.44140625" customWidth="1"/>
    <col min="14" max="14" width="6.88671875" customWidth="1"/>
    <col min="15" max="15" width="8.33203125" customWidth="1"/>
    <col min="16" max="16" width="6.44140625" customWidth="1"/>
    <col min="17" max="17" width="7.44140625" customWidth="1"/>
    <col min="18" max="18" width="7.88671875" customWidth="1"/>
    <col min="19" max="19" width="8.44140625" customWidth="1"/>
    <col min="20" max="20" width="13.109375" customWidth="1"/>
    <col min="21" max="22" width="9.109375" hidden="1" customWidth="1"/>
  </cols>
  <sheetData>
    <row r="1" spans="2:22" ht="20.100000000000001" customHeight="1" x14ac:dyDescent="0.3">
      <c r="B1" s="334" t="s">
        <v>13</v>
      </c>
      <c r="C1" s="334"/>
      <c r="D1" s="334"/>
      <c r="E1" s="334"/>
      <c r="F1" s="334"/>
      <c r="G1" s="334"/>
      <c r="H1" s="334"/>
      <c r="I1" s="334"/>
      <c r="J1" s="334"/>
      <c r="K1" s="334"/>
      <c r="L1" s="334"/>
      <c r="M1" s="334"/>
      <c r="N1" s="334"/>
      <c r="O1" s="334"/>
      <c r="P1" s="334"/>
      <c r="Q1" s="334"/>
      <c r="R1" s="334"/>
      <c r="S1" s="334"/>
      <c r="T1" s="329" t="s">
        <v>38</v>
      </c>
    </row>
    <row r="2" spans="2:22" ht="20.100000000000001" customHeight="1" x14ac:dyDescent="0.3">
      <c r="B2" s="334" t="str">
        <f>CONCATENATE(Form!C5,", ",Form!C7," FOR THE FINANCIAL YEAR ", Form!C3, " - ", Form!E3, " &amp; ASSESMENT YEAR ",  Form!C4, " - ", Form!E4)</f>
        <v>,  FOR THE FINANCIAL YEAR 2025 - 2026 &amp; ASSESMENT YEAR 2026 - 2027</v>
      </c>
      <c r="C2" s="334"/>
      <c r="D2" s="334"/>
      <c r="E2" s="334"/>
      <c r="F2" s="334"/>
      <c r="G2" s="334"/>
      <c r="H2" s="334"/>
      <c r="I2" s="334"/>
      <c r="J2" s="334"/>
      <c r="K2" s="334"/>
      <c r="L2" s="334"/>
      <c r="M2" s="334"/>
      <c r="N2" s="334"/>
      <c r="O2" s="334"/>
      <c r="P2" s="334"/>
      <c r="Q2" s="334"/>
      <c r="R2" s="334"/>
      <c r="S2" s="334"/>
      <c r="T2" s="329"/>
    </row>
    <row r="3" spans="2:22" ht="20.100000000000001" customHeight="1" x14ac:dyDescent="0.3">
      <c r="B3" s="335" t="s">
        <v>36</v>
      </c>
      <c r="C3" s="335"/>
      <c r="D3" s="335"/>
      <c r="E3" s="335"/>
      <c r="F3" s="335"/>
      <c r="G3" s="335"/>
      <c r="H3" s="335"/>
      <c r="I3" s="335"/>
      <c r="J3" s="335"/>
      <c r="K3" s="335"/>
      <c r="L3" s="335" t="s">
        <v>73</v>
      </c>
      <c r="M3" s="335"/>
      <c r="N3" s="335"/>
      <c r="O3" s="335"/>
      <c r="P3" s="335"/>
      <c r="Q3" s="335"/>
      <c r="R3" s="335"/>
      <c r="S3" s="335"/>
      <c r="T3" s="329"/>
    </row>
    <row r="4" spans="2:22" ht="40.5" customHeight="1" x14ac:dyDescent="0.3">
      <c r="B4" s="31" t="s">
        <v>14</v>
      </c>
      <c r="C4" s="31"/>
      <c r="D4" s="32" t="s">
        <v>256</v>
      </c>
      <c r="E4" s="32" t="s">
        <v>137</v>
      </c>
      <c r="F4" s="32" t="s">
        <v>15</v>
      </c>
      <c r="G4" s="32" t="s">
        <v>16</v>
      </c>
      <c r="H4" s="32" t="s">
        <v>17</v>
      </c>
      <c r="I4" s="32" t="s">
        <v>18</v>
      </c>
      <c r="J4" s="32" t="s">
        <v>32</v>
      </c>
      <c r="K4" s="32" t="s">
        <v>19</v>
      </c>
      <c r="L4" s="32" t="s">
        <v>21</v>
      </c>
      <c r="M4" s="32" t="s">
        <v>68</v>
      </c>
      <c r="N4" s="32" t="s">
        <v>67</v>
      </c>
      <c r="O4" s="32" t="s">
        <v>22</v>
      </c>
      <c r="P4" s="32" t="s">
        <v>35</v>
      </c>
      <c r="Q4" s="32" t="s">
        <v>33</v>
      </c>
      <c r="R4" s="32" t="s">
        <v>34</v>
      </c>
      <c r="S4" s="32" t="s">
        <v>69</v>
      </c>
      <c r="T4" s="329"/>
      <c r="V4" s="6" t="s">
        <v>39</v>
      </c>
    </row>
    <row r="5" spans="2:22" ht="20.100000000000001" customHeight="1" x14ac:dyDescent="0.3">
      <c r="B5" s="144" t="str">
        <f>CONCATENATE("March",", ", Form!$C$3)</f>
        <v>March, 2025</v>
      </c>
      <c r="C5" s="149">
        <f>Form!F3</f>
        <v>45747.25</v>
      </c>
      <c r="D5" s="35">
        <f>IF(C5&lt;=Form!$C$22,Form!C14,0)</f>
        <v>0</v>
      </c>
      <c r="E5" s="35">
        <f>IF(Form!$C$15="Yes",(D5*20%), 0)</f>
        <v>0</v>
      </c>
      <c r="F5" s="292">
        <f>IF(Form!$C$16="No", 53%,0)</f>
        <v>0</v>
      </c>
      <c r="G5" s="37">
        <f>ROUND((SUM(D5:E5)*F5),0)</f>
        <v>0</v>
      </c>
      <c r="H5" s="37">
        <f>IF(Form!$C$16="No", (ROUND((D5*0.1),0)),0)</f>
        <v>0</v>
      </c>
      <c r="I5" s="35">
        <f>IF(D5=0,0,IF(Form!$C$16="No", (IF(T5="YES", (IF(Form!$C$13&gt;=9,(3600+(3600*F5)), IF(Form!$C$13&gt;=3,(1800+(1800*F5)), IF(Form!$C$13&gt;=1,(900+(900*F5)),0)))),0)),0))</f>
        <v>0</v>
      </c>
      <c r="J5" s="35"/>
      <c r="K5" s="16">
        <f>D5+G5+H5+I5+J5+E5</f>
        <v>0</v>
      </c>
      <c r="L5" s="39"/>
      <c r="M5" s="39"/>
      <c r="N5" s="39"/>
      <c r="O5" s="39"/>
      <c r="P5" s="39"/>
      <c r="Q5" s="39"/>
      <c r="R5" s="39"/>
      <c r="S5" s="39"/>
      <c r="T5" s="15" t="s">
        <v>39</v>
      </c>
      <c r="U5" s="8">
        <f>COUNTIF(T5:T16,"YES")</f>
        <v>12</v>
      </c>
      <c r="V5" s="5" t="s">
        <v>27</v>
      </c>
    </row>
    <row r="6" spans="2:22" ht="20.100000000000001" customHeight="1" x14ac:dyDescent="0.3">
      <c r="B6" s="18" t="str">
        <f>CONCATENATE("April",", ", Form!$C$3)</f>
        <v>April, 2025</v>
      </c>
      <c r="C6" s="145">
        <f>EOMONTH(C5,1)</f>
        <v>45777</v>
      </c>
      <c r="D6" s="35">
        <f>IF(C6&lt;=Form!$C$22,D5,0)</f>
        <v>0</v>
      </c>
      <c r="E6" s="35">
        <f>IF(Form!$C$15="Yes",(D6*20%), 0)</f>
        <v>0</v>
      </c>
      <c r="F6" s="292">
        <f>IF(Form!$C$16="No", 55%,0)</f>
        <v>0</v>
      </c>
      <c r="G6" s="37">
        <f t="shared" ref="G6:G16" si="0">ROUND((SUM(D6:E6)*F6),0)</f>
        <v>0</v>
      </c>
      <c r="H6" s="37">
        <f>IF(Form!$C$16="No", (ROUND((D6*0.1),0)),0)</f>
        <v>0</v>
      </c>
      <c r="I6" s="35">
        <f>IF(D6=0,0,IF(Form!$C$16="No", (IF(T6="YES", (IF(Form!$C$13&gt;=9,(3600+(3600*F6)), IF(Form!$C$13&gt;=3,(1800+(1800*F6)), IF(Form!$C$13&gt;=1,(900+(900*F6)),0)))),0)),0))</f>
        <v>0</v>
      </c>
      <c r="J6" s="35"/>
      <c r="K6" s="16">
        <f t="shared" ref="K6:K16" si="1">D6+G6+H6+I6+J6+E6</f>
        <v>0</v>
      </c>
      <c r="L6" s="39"/>
      <c r="M6" s="39"/>
      <c r="N6" s="39"/>
      <c r="O6" s="39"/>
      <c r="P6" s="39"/>
      <c r="Q6" s="39"/>
      <c r="R6" s="39"/>
      <c r="S6" s="39"/>
      <c r="T6" s="15" t="s">
        <v>39</v>
      </c>
    </row>
    <row r="7" spans="2:22" ht="20.100000000000001" customHeight="1" x14ac:dyDescent="0.3">
      <c r="B7" s="18" t="str">
        <f>CONCATENATE("May",", ", Form!$C$3)</f>
        <v>May, 2025</v>
      </c>
      <c r="C7" s="145">
        <f t="shared" ref="C7:C16" si="2">EOMONTH(C6,1)</f>
        <v>45808</v>
      </c>
      <c r="D7" s="35">
        <f>IF(C7&lt;=Form!$C$22,D6,0)</f>
        <v>0</v>
      </c>
      <c r="E7" s="35">
        <f>IF(Form!$C$15="Yes",(D7*20%), 0)</f>
        <v>0</v>
      </c>
      <c r="F7" s="292">
        <f>IF(Form!$C$16="No", 55%,0)</f>
        <v>0</v>
      </c>
      <c r="G7" s="37">
        <f t="shared" si="0"/>
        <v>0</v>
      </c>
      <c r="H7" s="37">
        <f>IF(Form!$C$16="No", (ROUND((D7*0.1),0)),0)</f>
        <v>0</v>
      </c>
      <c r="I7" s="35">
        <f>IF(D7=0,0,IF(Form!$C$16="No", (IF(T7="YES", (IF(Form!$C$13&gt;=9,(3600+(3600*F7)), IF(Form!$C$13&gt;=3,(1800+(1800*F7)), IF(Form!$C$13&gt;=1,(900+(900*F7)),0)))),0)),0))</f>
        <v>0</v>
      </c>
      <c r="J7" s="35"/>
      <c r="K7" s="16">
        <f t="shared" si="1"/>
        <v>0</v>
      </c>
      <c r="L7" s="39"/>
      <c r="M7" s="39"/>
      <c r="N7" s="39"/>
      <c r="O7" s="39"/>
      <c r="P7" s="39"/>
      <c r="Q7" s="39"/>
      <c r="R7" s="39"/>
      <c r="S7" s="39"/>
      <c r="T7" s="15" t="s">
        <v>39</v>
      </c>
    </row>
    <row r="8" spans="2:22" ht="20.100000000000001" customHeight="1" x14ac:dyDescent="0.3">
      <c r="B8" s="18" t="str">
        <f>CONCATENATE("June",", ", Form!$C$3)</f>
        <v>June, 2025</v>
      </c>
      <c r="C8" s="145">
        <f t="shared" si="2"/>
        <v>45838</v>
      </c>
      <c r="D8" s="35">
        <f>IF(C8&lt;=Form!$C$22,D7,0)</f>
        <v>0</v>
      </c>
      <c r="E8" s="35">
        <f>IF(Form!$C$15="Yes",(D8*20%), 0)</f>
        <v>0</v>
      </c>
      <c r="F8" s="292">
        <f>IF(Form!$C$16="No", 55%,0)</f>
        <v>0</v>
      </c>
      <c r="G8" s="37">
        <f t="shared" si="0"/>
        <v>0</v>
      </c>
      <c r="H8" s="37">
        <f>IF(Form!$C$16="No", (ROUND((D8*0.1),0)),0)</f>
        <v>0</v>
      </c>
      <c r="I8" s="35">
        <f>IF(D8=0,0,IF(Form!$C$16="No", (IF(T8="YES", (IF(Form!$C$13&gt;=9,(3600+(3600*F8)), IF(Form!$C$13&gt;=3,(1800+(1800*F8)), IF(Form!$C$13&gt;=1,(900+(900*F8)),0)))),0)),0))</f>
        <v>0</v>
      </c>
      <c r="J8" s="35"/>
      <c r="K8" s="16">
        <f t="shared" si="1"/>
        <v>0</v>
      </c>
      <c r="L8" s="39"/>
      <c r="M8" s="39"/>
      <c r="N8" s="39"/>
      <c r="O8" s="39"/>
      <c r="P8" s="39"/>
      <c r="Q8" s="39"/>
      <c r="R8" s="39"/>
      <c r="S8" s="39"/>
      <c r="T8" s="15" t="s">
        <v>39</v>
      </c>
    </row>
    <row r="9" spans="2:22" ht="20.100000000000001" customHeight="1" x14ac:dyDescent="0.3">
      <c r="B9" s="18" t="str">
        <f>CONCATENATE("July",", ", Form!$C$3)</f>
        <v>July, 2025</v>
      </c>
      <c r="C9" s="145">
        <f t="shared" si="2"/>
        <v>45869</v>
      </c>
      <c r="D9" s="35">
        <f>IF(C9&lt;=Form!$C$22,(IF(AND(Form!C17="No",Form!C18="NA"),D8, IF(AND(Form!C17="Yes",Form!C18="July"),(ROUND((D8+(D8*3%)),-2)), IF(AND(Form!C17="No", Form!C18="July"), "Error", IF(AND(Form!C17="No", Form!C18="January"), "Error", IF(AND(Form!C17="Yes", Form!C18="NA"),"Error", D8)))))),0)</f>
        <v>0</v>
      </c>
      <c r="E9" s="35">
        <f>IF(Form!$C$15="Yes",(D9*20%), 0)</f>
        <v>0</v>
      </c>
      <c r="F9" s="292">
        <f>IF(Form!$C$16="No", 55%,0)</f>
        <v>0</v>
      </c>
      <c r="G9" s="37">
        <f t="shared" si="0"/>
        <v>0</v>
      </c>
      <c r="H9" s="37">
        <f>IF(Form!$C$16="No", (ROUND((D9*0.1),0)),0)</f>
        <v>0</v>
      </c>
      <c r="I9" s="35">
        <f>IF(D9=0,0,IF(Form!$C$16="No", (IF(T9="YES", (IF(Form!$C$13&gt;=9,(3600+(3600*F9)), IF(Form!$C$13&gt;=3,(1800+(1800*F9)), IF(Form!$C$13&gt;=1,(900+(900*F9)),0)))),0)),0))</f>
        <v>0</v>
      </c>
      <c r="J9" s="35"/>
      <c r="K9" s="16">
        <f t="shared" si="1"/>
        <v>0</v>
      </c>
      <c r="L9" s="39"/>
      <c r="M9" s="39"/>
      <c r="N9" s="39"/>
      <c r="O9" s="39"/>
      <c r="P9" s="39"/>
      <c r="Q9" s="39"/>
      <c r="R9" s="39"/>
      <c r="S9" s="39"/>
      <c r="T9" s="15" t="s">
        <v>39</v>
      </c>
    </row>
    <row r="10" spans="2:22" ht="20.100000000000001" customHeight="1" x14ac:dyDescent="0.3">
      <c r="B10" s="18" t="str">
        <f>CONCATENATE("August",", ", Form!$C$3)</f>
        <v>August, 2025</v>
      </c>
      <c r="C10" s="145">
        <f t="shared" si="2"/>
        <v>45900</v>
      </c>
      <c r="D10" s="35">
        <f>IF(C10&lt;=Form!$C$22,D9,0)</f>
        <v>0</v>
      </c>
      <c r="E10" s="35">
        <f>IF(Form!$C$15="Yes",(D10*20%), 0)</f>
        <v>0</v>
      </c>
      <c r="F10" s="292">
        <f>IF(Form!$C$16="No", 55%,0)</f>
        <v>0</v>
      </c>
      <c r="G10" s="37">
        <f t="shared" si="0"/>
        <v>0</v>
      </c>
      <c r="H10" s="37">
        <f>IF(Form!$C$16="No", (ROUND((D10*0.1),0)),0)</f>
        <v>0</v>
      </c>
      <c r="I10" s="35">
        <f>IF(D10=0,0,IF(Form!$C$16="No", (IF(T10="YES", (IF(Form!$C$13&gt;=9,(3600+(3600*F10)), IF(Form!$C$13&gt;=3,(1800+(1800*F10)), IF(Form!$C$13&gt;=1,(900+(900*F10)),0)))),0)),0))</f>
        <v>0</v>
      </c>
      <c r="J10" s="35"/>
      <c r="K10" s="16">
        <f t="shared" si="1"/>
        <v>0</v>
      </c>
      <c r="L10" s="39"/>
      <c r="M10" s="39"/>
      <c r="N10" s="39"/>
      <c r="O10" s="39"/>
      <c r="P10" s="39"/>
      <c r="Q10" s="39"/>
      <c r="R10" s="39"/>
      <c r="S10" s="39"/>
      <c r="T10" s="15" t="s">
        <v>39</v>
      </c>
    </row>
    <row r="11" spans="2:22" ht="20.100000000000001" customHeight="1" x14ac:dyDescent="0.3">
      <c r="B11" s="18" t="str">
        <f>CONCATENATE("September",", ", Form!$C$3)</f>
        <v>September, 2025</v>
      </c>
      <c r="C11" s="145">
        <f t="shared" si="2"/>
        <v>45930</v>
      </c>
      <c r="D11" s="35">
        <f>IF(C11&lt;=Form!$C$22,D10,0)</f>
        <v>0</v>
      </c>
      <c r="E11" s="35">
        <f>IF(Form!$C$15="Yes",(D11*20%), 0)</f>
        <v>0</v>
      </c>
      <c r="F11" s="292">
        <f>IF(Form!$C$16="No", 55%,0)</f>
        <v>0</v>
      </c>
      <c r="G11" s="37">
        <f t="shared" si="0"/>
        <v>0</v>
      </c>
      <c r="H11" s="37">
        <f>IF(Form!$C$16="No", (ROUND((D11*0.1),0)),0)</f>
        <v>0</v>
      </c>
      <c r="I11" s="35">
        <f>IF(D11=0,0,IF(Form!$C$16="No", (IF(T11="YES", (IF(Form!$C$13&gt;=9,(3600+(3600*F11)), IF(Form!$C$13&gt;=3,(1800+(1800*F11)), IF(Form!$C$13&gt;=1,(900+(900*F11)),0)))),0)),0))</f>
        <v>0</v>
      </c>
      <c r="J11" s="35"/>
      <c r="K11" s="16">
        <f t="shared" si="1"/>
        <v>0</v>
      </c>
      <c r="L11" s="39"/>
      <c r="M11" s="39"/>
      <c r="N11" s="39"/>
      <c r="O11" s="39"/>
      <c r="P11" s="39"/>
      <c r="Q11" s="39"/>
      <c r="R11" s="39"/>
      <c r="S11" s="39"/>
      <c r="T11" s="15" t="s">
        <v>39</v>
      </c>
    </row>
    <row r="12" spans="2:22" ht="20.100000000000001" customHeight="1" x14ac:dyDescent="0.3">
      <c r="B12" s="18" t="str">
        <f>CONCATENATE("October",", ", Form!$C$3)</f>
        <v>October, 2025</v>
      </c>
      <c r="C12" s="145">
        <f t="shared" si="2"/>
        <v>45961</v>
      </c>
      <c r="D12" s="35">
        <f>IF(C12&lt;=Form!$C$22,D11,0)</f>
        <v>0</v>
      </c>
      <c r="E12" s="35">
        <f>IF(Form!$C$15="Yes",(D12*20%), 0)</f>
        <v>0</v>
      </c>
      <c r="F12" s="292">
        <f>IF(Form!$C$16="No", 58%,0)</f>
        <v>0</v>
      </c>
      <c r="G12" s="37">
        <f t="shared" si="0"/>
        <v>0</v>
      </c>
      <c r="H12" s="37">
        <f>IF(Form!$C$16="No", (ROUND((D12*0.1),0)),0)</f>
        <v>0</v>
      </c>
      <c r="I12" s="35">
        <f>IF(D12=0,0,IF(Form!$C$16="No", (IF(T12="YES", (IF(Form!$C$13&gt;=9,(3600+(3600*F12)), IF(Form!$C$13&gt;=3,(1800+(1800*F12)), IF(Form!$C$13&gt;=1,(900+(900*F12)),0)))),0)),0))</f>
        <v>0</v>
      </c>
      <c r="J12" s="35"/>
      <c r="K12" s="16">
        <f t="shared" si="1"/>
        <v>0</v>
      </c>
      <c r="L12" s="39"/>
      <c r="M12" s="39"/>
      <c r="N12" s="39"/>
      <c r="O12" s="39"/>
      <c r="P12" s="39"/>
      <c r="Q12" s="39"/>
      <c r="R12" s="39"/>
      <c r="S12" s="39"/>
      <c r="T12" s="15" t="s">
        <v>39</v>
      </c>
    </row>
    <row r="13" spans="2:22" ht="20.100000000000001" customHeight="1" x14ac:dyDescent="0.3">
      <c r="B13" s="18" t="str">
        <f>CONCATENATE("November",", ", Form!$C$3)</f>
        <v>November, 2025</v>
      </c>
      <c r="C13" s="145">
        <f t="shared" si="2"/>
        <v>45991</v>
      </c>
      <c r="D13" s="35">
        <f>IF(C13&lt;=Form!$C$22,D12,0)</f>
        <v>0</v>
      </c>
      <c r="E13" s="35">
        <f>IF(Form!$C$15="Yes",(D13*20%), 0)</f>
        <v>0</v>
      </c>
      <c r="F13" s="292">
        <f>IF(Form!$C$16="No", 58%,0)</f>
        <v>0</v>
      </c>
      <c r="G13" s="37">
        <f t="shared" si="0"/>
        <v>0</v>
      </c>
      <c r="H13" s="37">
        <f>IF(Form!$C$16="No", (ROUND((D13*0.1),0)),0)</f>
        <v>0</v>
      </c>
      <c r="I13" s="35">
        <f>IF(D13=0,0,IF(Form!$C$16="No", (IF(T13="YES", (IF(Form!$C$13&gt;=9,(3600+(3600*F13)), IF(Form!$C$13&gt;=3,(1800+(1800*F13)), IF(Form!$C$13&gt;=1,(900+(900*F13)),0)))),0)),0))</f>
        <v>0</v>
      </c>
      <c r="J13" s="35"/>
      <c r="K13" s="16">
        <f t="shared" si="1"/>
        <v>0</v>
      </c>
      <c r="L13" s="39"/>
      <c r="M13" s="39"/>
      <c r="N13" s="39"/>
      <c r="O13" s="39"/>
      <c r="P13" s="39"/>
      <c r="Q13" s="39"/>
      <c r="R13" s="39"/>
      <c r="S13" s="39"/>
      <c r="T13" s="15" t="s">
        <v>39</v>
      </c>
    </row>
    <row r="14" spans="2:22" ht="20.100000000000001" customHeight="1" x14ac:dyDescent="0.3">
      <c r="B14" s="18" t="str">
        <f>CONCATENATE("December",", ", Form!$C$3)</f>
        <v>December, 2025</v>
      </c>
      <c r="C14" s="145">
        <f t="shared" si="2"/>
        <v>46022</v>
      </c>
      <c r="D14" s="35">
        <f>IF(C14&lt;=Form!$C$22,D13,0)</f>
        <v>0</v>
      </c>
      <c r="E14" s="35">
        <f>IF(Form!$C$15="Yes",(D14*20%), 0)</f>
        <v>0</v>
      </c>
      <c r="F14" s="292">
        <f>IF(Form!$C$16="No", 58%,0)</f>
        <v>0</v>
      </c>
      <c r="G14" s="37">
        <f t="shared" si="0"/>
        <v>0</v>
      </c>
      <c r="H14" s="37">
        <f>IF(Form!$C$16="No", (ROUND((D14*0.1),0)),0)</f>
        <v>0</v>
      </c>
      <c r="I14" s="35">
        <f>IF(D14=0,0,IF(Form!$C$16="No", (IF(T14="YES", (IF(Form!$C$13&gt;=9,(3600+(3600*F14)), IF(Form!$C$13&gt;=3,(1800+(1800*F14)), IF(Form!$C$13&gt;=1,(900+(900*F14)),0)))),0)),0))</f>
        <v>0</v>
      </c>
      <c r="J14" s="35"/>
      <c r="K14" s="16">
        <f t="shared" si="1"/>
        <v>0</v>
      </c>
      <c r="L14" s="39"/>
      <c r="M14" s="39"/>
      <c r="N14" s="39"/>
      <c r="O14" s="39"/>
      <c r="P14" s="39"/>
      <c r="Q14" s="39"/>
      <c r="R14" s="39"/>
      <c r="S14" s="40">
        <f>'IT statement'!D113</f>
        <v>0</v>
      </c>
      <c r="T14" s="15" t="s">
        <v>39</v>
      </c>
    </row>
    <row r="15" spans="2:22" ht="20.100000000000001" customHeight="1" x14ac:dyDescent="0.3">
      <c r="B15" s="18" t="str">
        <f>CONCATENATE("January",", ", Form!$E$3)</f>
        <v>January, 2026</v>
      </c>
      <c r="C15" s="145">
        <f t="shared" si="2"/>
        <v>46053</v>
      </c>
      <c r="D15" s="35">
        <f>IF(C15&lt;=Form!$C$22,(IF(AND(Form!C17="No",Form!C18="NA"),D14, IF(AND(Form!C17="Yes",Form!C18="January"),(ROUND((D14+(D14*3%)),-2)), IF(AND(Form!C17="No", Form!C18="July"), "Error", IF(AND(Form!C17="No", Form!C18="January"), "Error", IF(AND(Form!C17="Yes", Form!C18="NA"),"Error", D14)))))),0)</f>
        <v>0</v>
      </c>
      <c r="E15" s="35">
        <f>IF(Form!$C$15="Yes",(D15*20%), 0)</f>
        <v>0</v>
      </c>
      <c r="F15" s="292">
        <f>IF(Form!$C$16="No", 58%,0)</f>
        <v>0</v>
      </c>
      <c r="G15" s="37">
        <f t="shared" si="0"/>
        <v>0</v>
      </c>
      <c r="H15" s="37">
        <f>IF(Form!$C$16="No", (ROUND((D15*0.1),0)),0)</f>
        <v>0</v>
      </c>
      <c r="I15" s="35">
        <f>IF(D15=0,0,IF(Form!$C$16="No", (IF(T15="YES", (IF(Form!$C$13&gt;=9,(3600+(3600*F15)), IF(Form!$C$13&gt;=3,(1800+(1800*F15)), IF(Form!$C$13&gt;=1,(900+(900*F15)),0)))),0)),0))</f>
        <v>0</v>
      </c>
      <c r="J15" s="35"/>
      <c r="K15" s="16">
        <f t="shared" si="1"/>
        <v>0</v>
      </c>
      <c r="L15" s="39"/>
      <c r="M15" s="39"/>
      <c r="N15" s="39"/>
      <c r="O15" s="39"/>
      <c r="P15" s="39"/>
      <c r="Q15" s="39"/>
      <c r="R15" s="39"/>
      <c r="S15" s="40">
        <f>'IT statement'!D114</f>
        <v>0</v>
      </c>
      <c r="T15" s="15" t="s">
        <v>39</v>
      </c>
    </row>
    <row r="16" spans="2:22" ht="20.100000000000001" customHeight="1" x14ac:dyDescent="0.3">
      <c r="B16" s="18" t="str">
        <f>CONCATENATE("February",", ", Form!$E$3)</f>
        <v>February, 2026</v>
      </c>
      <c r="C16" s="145">
        <f t="shared" si="2"/>
        <v>46081</v>
      </c>
      <c r="D16" s="35">
        <f>IF(C16&lt;=Form!$C$22,D15,0)</f>
        <v>0</v>
      </c>
      <c r="E16" s="35">
        <f>IF(Form!$C$15="Yes",(D16*20%), 0)</f>
        <v>0</v>
      </c>
      <c r="F16" s="292">
        <f>IF(Form!$C$16="No", 58%,0)</f>
        <v>0</v>
      </c>
      <c r="G16" s="37">
        <f t="shared" si="0"/>
        <v>0</v>
      </c>
      <c r="H16" s="37">
        <f>IF(Form!$C$16="No", (ROUND((D16*0.1),0)),0)</f>
        <v>0</v>
      </c>
      <c r="I16" s="35">
        <f>IF(D16=0,0,IF(Form!$C$16="No", (IF(T16="YES", (IF(Form!$C$13&gt;=9,(3600+(3600*F16)), IF(Form!$C$13&gt;=3,(1800+(1800*F16)), IF(Form!$C$13&gt;=1,(900+(900*F16)),0)))),0)),0))</f>
        <v>0</v>
      </c>
      <c r="J16" s="35"/>
      <c r="K16" s="16">
        <f t="shared" si="1"/>
        <v>0</v>
      </c>
      <c r="L16" s="39"/>
      <c r="M16" s="39"/>
      <c r="N16" s="39"/>
      <c r="O16" s="39"/>
      <c r="P16" s="39"/>
      <c r="Q16" s="39"/>
      <c r="R16" s="39"/>
      <c r="S16" s="40">
        <f>'IT statement'!D115</f>
        <v>0</v>
      </c>
      <c r="T16" s="15" t="s">
        <v>39</v>
      </c>
    </row>
    <row r="17" spans="2:20" ht="20.100000000000001" customHeight="1" x14ac:dyDescent="0.3">
      <c r="B17" s="19" t="s">
        <v>20</v>
      </c>
      <c r="C17" s="19"/>
      <c r="D17" s="33">
        <f>SUM(D5:D16)</f>
        <v>0</v>
      </c>
      <c r="E17" s="33">
        <f>SUM(E5:E16)</f>
        <v>0</v>
      </c>
      <c r="F17" s="33"/>
      <c r="G17" s="33">
        <f>SUM(G5:G16)</f>
        <v>0</v>
      </c>
      <c r="H17" s="33">
        <f t="shared" ref="H17:R17" si="3">SUM(H5:H16)</f>
        <v>0</v>
      </c>
      <c r="I17" s="33">
        <f t="shared" si="3"/>
        <v>0</v>
      </c>
      <c r="J17" s="33">
        <f t="shared" si="3"/>
        <v>0</v>
      </c>
      <c r="K17" s="33">
        <f t="shared" si="3"/>
        <v>0</v>
      </c>
      <c r="L17" s="41">
        <f>SUM(L5:L16)</f>
        <v>0</v>
      </c>
      <c r="M17" s="33">
        <f t="shared" si="3"/>
        <v>0</v>
      </c>
      <c r="N17" s="33">
        <f t="shared" si="3"/>
        <v>0</v>
      </c>
      <c r="O17" s="33">
        <f t="shared" si="3"/>
        <v>0</v>
      </c>
      <c r="P17" s="33">
        <f t="shared" si="3"/>
        <v>0</v>
      </c>
      <c r="Q17" s="33">
        <f t="shared" si="3"/>
        <v>0</v>
      </c>
      <c r="R17" s="33">
        <f t="shared" si="3"/>
        <v>0</v>
      </c>
      <c r="S17" s="41">
        <f>SUM(S5:S16)</f>
        <v>0</v>
      </c>
      <c r="T17" s="34"/>
    </row>
    <row r="18" spans="2:20" ht="18" customHeight="1" x14ac:dyDescent="0.3">
      <c r="B18" s="18" t="s">
        <v>72</v>
      </c>
      <c r="C18" s="141"/>
      <c r="D18" s="20"/>
      <c r="E18" s="21"/>
      <c r="F18" s="21"/>
      <c r="G18" s="76">
        <f>IF(Form!C16="NO", ((G6-G5)*3), 0)</f>
        <v>0</v>
      </c>
      <c r="H18" s="330"/>
      <c r="I18" s="80">
        <f>IF(Form!C16="NO", ((I6-I5)*3),0)</f>
        <v>0</v>
      </c>
      <c r="J18" s="332"/>
      <c r="K18" s="16">
        <f>ROUND((G18+I18),0)</f>
        <v>0</v>
      </c>
      <c r="L18" s="23"/>
      <c r="M18" s="23"/>
      <c r="N18" s="23"/>
      <c r="O18" s="23"/>
      <c r="P18" s="23"/>
      <c r="Q18" s="23"/>
      <c r="R18" s="23"/>
      <c r="S18" s="23"/>
    </row>
    <row r="19" spans="2:20" ht="18" customHeight="1" x14ac:dyDescent="0.3">
      <c r="B19" s="18" t="s">
        <v>71</v>
      </c>
      <c r="C19" s="142"/>
      <c r="D19" s="24"/>
      <c r="E19" s="21"/>
      <c r="F19" s="21"/>
      <c r="G19" s="22">
        <f>(G13-G9)*3</f>
        <v>0</v>
      </c>
      <c r="H19" s="331"/>
      <c r="I19" s="81">
        <f>(I13-I9)*3</f>
        <v>0</v>
      </c>
      <c r="J19" s="333"/>
      <c r="K19" s="16">
        <f>ROUND((G19+I19),0)</f>
        <v>0</v>
      </c>
      <c r="L19" s="25"/>
      <c r="M19" s="25"/>
      <c r="N19" s="25"/>
      <c r="O19" s="25"/>
      <c r="P19" s="25"/>
      <c r="Q19" s="25"/>
      <c r="R19" s="25"/>
      <c r="S19" s="25"/>
    </row>
    <row r="20" spans="2:20" ht="18" customHeight="1" x14ac:dyDescent="0.3">
      <c r="B20" s="18" t="s">
        <v>242</v>
      </c>
      <c r="C20" s="142"/>
      <c r="D20" s="24"/>
      <c r="E20" s="21"/>
      <c r="F20" s="21"/>
      <c r="G20" s="26"/>
      <c r="H20" s="24"/>
      <c r="I20" s="26"/>
      <c r="J20" s="36"/>
      <c r="K20" s="27">
        <f>J20</f>
        <v>0</v>
      </c>
      <c r="L20" s="25"/>
      <c r="M20" s="25"/>
      <c r="N20" s="25"/>
      <c r="O20" s="25"/>
      <c r="P20" s="25"/>
      <c r="Q20" s="25"/>
      <c r="R20" s="25"/>
      <c r="S20" s="25"/>
    </row>
    <row r="21" spans="2:20" ht="18" customHeight="1" x14ac:dyDescent="0.3">
      <c r="B21" s="18" t="s">
        <v>241</v>
      </c>
      <c r="C21" s="142"/>
      <c r="D21" s="24"/>
      <c r="E21" s="21"/>
      <c r="F21" s="21"/>
      <c r="G21" s="21"/>
      <c r="H21" s="24"/>
      <c r="I21" s="21"/>
      <c r="J21" s="38">
        <f>Form!J9+Form!M24</f>
        <v>0</v>
      </c>
      <c r="K21" s="27">
        <f>J21</f>
        <v>0</v>
      </c>
      <c r="L21" s="25"/>
      <c r="M21" s="25"/>
      <c r="N21" s="25"/>
      <c r="O21" s="25"/>
      <c r="P21" s="25"/>
      <c r="Q21" s="25"/>
      <c r="R21" s="25"/>
      <c r="S21" s="25"/>
    </row>
    <row r="22" spans="2:20" ht="18" customHeight="1" x14ac:dyDescent="0.3">
      <c r="B22" s="18" t="s">
        <v>70</v>
      </c>
      <c r="C22" s="143"/>
      <c r="D22" s="28"/>
      <c r="E22" s="21"/>
      <c r="F22" s="21"/>
      <c r="G22" s="21"/>
      <c r="H22" s="28"/>
      <c r="I22" s="21"/>
      <c r="J22" s="37"/>
      <c r="K22" s="27">
        <f>J22</f>
        <v>0</v>
      </c>
      <c r="L22" s="25"/>
      <c r="M22" s="25"/>
      <c r="N22" s="25"/>
      <c r="O22" s="25"/>
      <c r="P22" s="25"/>
      <c r="Q22" s="25"/>
      <c r="R22" s="25"/>
      <c r="S22" s="25"/>
    </row>
    <row r="23" spans="2:20" ht="20.100000000000001" customHeight="1" x14ac:dyDescent="0.3">
      <c r="B23" s="29" t="s">
        <v>74</v>
      </c>
      <c r="C23" s="29"/>
      <c r="D23" s="30">
        <f>D17</f>
        <v>0</v>
      </c>
      <c r="E23" s="30"/>
      <c r="F23" s="30"/>
      <c r="G23" s="30">
        <f>SUM(G17:G19)</f>
        <v>0</v>
      </c>
      <c r="H23" s="30">
        <f>H17</f>
        <v>0</v>
      </c>
      <c r="I23" s="30">
        <f>SUM(I17:I19)</f>
        <v>0</v>
      </c>
      <c r="J23" s="30">
        <f>SUM(J17,J20:J22)</f>
        <v>0</v>
      </c>
      <c r="K23" s="17">
        <f>SUM(K17:K22)</f>
        <v>0</v>
      </c>
      <c r="L23" s="17">
        <f>L17</f>
        <v>0</v>
      </c>
      <c r="M23" s="17">
        <f t="shared" ref="M23:S23" si="4">M17</f>
        <v>0</v>
      </c>
      <c r="N23" s="17">
        <f t="shared" si="4"/>
        <v>0</v>
      </c>
      <c r="O23" s="17">
        <f t="shared" si="4"/>
        <v>0</v>
      </c>
      <c r="P23" s="17">
        <f t="shared" si="4"/>
        <v>0</v>
      </c>
      <c r="Q23" s="17">
        <f t="shared" si="4"/>
        <v>0</v>
      </c>
      <c r="R23" s="17">
        <f t="shared" si="4"/>
        <v>0</v>
      </c>
      <c r="S23" s="17">
        <f t="shared" si="4"/>
        <v>0</v>
      </c>
    </row>
    <row r="24" spans="2:20" x14ac:dyDescent="0.3">
      <c r="B24" s="328"/>
      <c r="C24" s="328"/>
      <c r="D24" s="328"/>
      <c r="E24" s="328"/>
      <c r="F24" s="328"/>
      <c r="G24" s="328"/>
      <c r="H24" s="328"/>
      <c r="I24" s="328"/>
      <c r="J24" s="328"/>
      <c r="K24" s="2"/>
      <c r="L24" s="2"/>
      <c r="M24" s="2"/>
      <c r="N24" s="2"/>
      <c r="O24" s="2"/>
      <c r="P24" s="2"/>
      <c r="Q24" s="2"/>
      <c r="R24" s="2"/>
      <c r="S24" s="2"/>
      <c r="T24" s="3"/>
    </row>
    <row r="25" spans="2:20" ht="24.9" customHeight="1" x14ac:dyDescent="0.3">
      <c r="B25" s="2"/>
      <c r="C25" s="2"/>
      <c r="D25" s="2"/>
      <c r="E25" s="2"/>
      <c r="F25" s="2"/>
      <c r="G25" s="2"/>
      <c r="H25" s="2"/>
      <c r="I25" s="2"/>
      <c r="J25" s="2"/>
      <c r="K25" s="2"/>
      <c r="L25" s="2"/>
      <c r="M25" s="2"/>
      <c r="N25" s="2"/>
      <c r="O25" s="2"/>
      <c r="P25" s="2"/>
      <c r="Q25" s="2"/>
      <c r="R25" s="2"/>
      <c r="S25" s="2"/>
    </row>
    <row r="26" spans="2:20" ht="24.9" customHeight="1" x14ac:dyDescent="0.3">
      <c r="B26" s="1"/>
      <c r="C26" s="1"/>
      <c r="D26" s="1"/>
      <c r="E26" s="1"/>
      <c r="F26" s="1"/>
      <c r="G26" s="1"/>
      <c r="H26" s="4"/>
      <c r="K26" s="1"/>
      <c r="L26" s="1"/>
      <c r="M26" s="1"/>
      <c r="N26" s="1"/>
      <c r="O26" s="1"/>
      <c r="P26" s="327" t="s">
        <v>1</v>
      </c>
      <c r="Q26" s="327"/>
      <c r="R26" s="327"/>
      <c r="S26" s="1"/>
    </row>
  </sheetData>
  <sheetProtection algorithmName="SHA-512" hashValue="bLnINXnuDjBKY8FHqpeI3iq98d/0oB7KNWrI9eAKWIX92SnHlGNyAa+PhRQk2N2or9+SEvNarUK9I44vz36buQ==" saltValue="oion1s9PYqfhSlxb0SnUrQ==" spinCount="100000" sheet="1" selectLockedCells="1"/>
  <customSheetViews>
    <customSheetView guid="{FB1B2773-2708-4BC7-98F1-55C7E60B40D3}" showPageBreaks="1" printArea="1" topLeftCell="B5">
      <selection activeCell="C5" sqref="C5"/>
      <pageMargins left="0.43307086614173229" right="0.27559055118110237" top="0.74803149606299213" bottom="0.4" header="0.31496062992125984" footer="0.31496062992125984"/>
      <pageSetup scale="90" orientation="landscape" blackAndWhite="1" horizontalDpi="0" verticalDpi="0" r:id="rId1"/>
    </customSheetView>
  </customSheetViews>
  <mergeCells count="9">
    <mergeCell ref="P26:R26"/>
    <mergeCell ref="B24:J24"/>
    <mergeCell ref="T1:T4"/>
    <mergeCell ref="H18:H19"/>
    <mergeCell ref="J18:J19"/>
    <mergeCell ref="B1:S1"/>
    <mergeCell ref="B2:S2"/>
    <mergeCell ref="L3:S3"/>
    <mergeCell ref="B3:K3"/>
  </mergeCells>
  <dataValidations count="3">
    <dataValidation type="list" allowBlank="1" showInputMessage="1" showErrorMessage="1" error="First select Yes or No for TA applicability" promptTitle="TA applicability" sqref="T5:T17" xr:uid="{00000000-0002-0000-0100-000000000000}">
      <formula1>$V$4:$V$5</formula1>
    </dataValidation>
    <dataValidation allowBlank="1" showInputMessage="1" showErrorMessage="1" promptTitle="TA applicability" prompt="Kindly ensure to select YES or NO for TA applicability" sqref="I5:I16" xr:uid="{00000000-0002-0000-0100-000001000000}"/>
    <dataValidation allowBlank="1" showInputMessage="1" showErrorMessage="1" promptTitle="ARREAR RELIEF CALCULATOR" prompt="        LINK IN NEXT PAGE" sqref="J22" xr:uid="{86FAA386-F77D-4558-8C62-04049038A08E}"/>
  </dataValidations>
  <printOptions horizontalCentered="1" verticalCentered="1"/>
  <pageMargins left="0.23622047244094491" right="0.27559055118110237" top="0.99" bottom="0.43307086614173229" header="0" footer="0.55118110236220474"/>
  <pageSetup scale="93" orientation="landscape" blackAndWhite="1"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139"/>
  <sheetViews>
    <sheetView topLeftCell="A99" zoomScaleNormal="100" zoomScaleSheetLayoutView="110" zoomScalePageLayoutView="150" workbookViewId="0">
      <selection activeCell="K3" sqref="K3:L3"/>
    </sheetView>
  </sheetViews>
  <sheetFormatPr defaultColWidth="9.109375" defaultRowHeight="14.4" x14ac:dyDescent="0.3"/>
  <cols>
    <col min="1" max="1" width="4.109375" customWidth="1"/>
    <col min="2" max="2" width="3.6640625" customWidth="1"/>
    <col min="3" max="3" width="11.88671875" customWidth="1"/>
    <col min="4" max="4" width="12.44140625" customWidth="1"/>
    <col min="5" max="5" width="12.109375" customWidth="1"/>
    <col min="6" max="6" width="1.33203125" customWidth="1"/>
    <col min="7" max="7" width="10.6640625" customWidth="1"/>
    <col min="8" max="8" width="12.109375" customWidth="1"/>
    <col min="9" max="9" width="1.44140625" customWidth="1"/>
    <col min="10" max="10" width="18" customWidth="1"/>
    <col min="11" max="11" width="15.33203125" customWidth="1"/>
    <col min="12" max="12" width="17" customWidth="1"/>
  </cols>
  <sheetData>
    <row r="1" spans="1:12" ht="18" customHeight="1" x14ac:dyDescent="0.3">
      <c r="A1" s="398" t="str">
        <f>Form!C2</f>
        <v>PAJANCOA&amp;RI, Karaikal</v>
      </c>
      <c r="B1" s="398"/>
      <c r="C1" s="398"/>
      <c r="D1" s="398"/>
      <c r="E1" s="398"/>
      <c r="F1" s="398"/>
      <c r="G1" s="398"/>
      <c r="H1" s="398"/>
      <c r="I1" s="398"/>
      <c r="J1" s="398"/>
      <c r="K1" s="398"/>
      <c r="L1" s="398"/>
    </row>
    <row r="2" spans="1:12" ht="18" customHeight="1" x14ac:dyDescent="0.3">
      <c r="A2" s="399" t="str">
        <f>CONCATENATE("Determination of Income tax deductable from salary for financial year ", Form!C3, " - ", Form!E3, " ; Assessment year ", Form!C4, " - ",Form!E4)</f>
        <v>Determination of Income tax deductable from salary for financial year 2025 - 2026 ; Assessment year 2026 - 2027</v>
      </c>
      <c r="B2" s="399"/>
      <c r="C2" s="399"/>
      <c r="D2" s="399"/>
      <c r="E2" s="399"/>
      <c r="F2" s="399"/>
      <c r="G2" s="399"/>
      <c r="H2" s="399"/>
      <c r="I2" s="399"/>
      <c r="J2" s="399"/>
      <c r="K2" s="399"/>
      <c r="L2" s="399"/>
    </row>
    <row r="3" spans="1:12" ht="19.5" customHeight="1" x14ac:dyDescent="0.3">
      <c r="A3" s="84" t="s">
        <v>2</v>
      </c>
      <c r="B3" s="84"/>
      <c r="C3" s="84"/>
      <c r="D3" s="396">
        <f>Form!C5</f>
        <v>0</v>
      </c>
      <c r="E3" s="396"/>
      <c r="F3" s="396"/>
      <c r="G3" s="396"/>
      <c r="H3" s="87"/>
      <c r="I3" s="404" t="s">
        <v>3</v>
      </c>
      <c r="J3" s="404"/>
      <c r="K3" s="403"/>
      <c r="L3" s="403"/>
    </row>
    <row r="4" spans="1:12" ht="22.5" customHeight="1" x14ac:dyDescent="0.3">
      <c r="A4" s="404" t="s">
        <v>4</v>
      </c>
      <c r="B4" s="404"/>
      <c r="C4" s="404"/>
      <c r="D4" s="396">
        <f>Form!C7</f>
        <v>0</v>
      </c>
      <c r="E4" s="396"/>
      <c r="F4" s="396"/>
      <c r="G4" s="396"/>
      <c r="H4" s="87"/>
      <c r="I4" s="404" t="s">
        <v>11</v>
      </c>
      <c r="J4" s="404"/>
      <c r="K4" s="405">
        <f>Form!C8</f>
        <v>0</v>
      </c>
      <c r="L4" s="405"/>
    </row>
    <row r="5" spans="1:12" ht="20.399999999999999" customHeight="1" x14ac:dyDescent="0.3">
      <c r="A5" s="425" t="s">
        <v>9</v>
      </c>
      <c r="B5" s="425"/>
      <c r="C5" s="425"/>
      <c r="D5" s="425"/>
      <c r="E5" s="425"/>
      <c r="F5" s="87"/>
      <c r="G5" s="87"/>
      <c r="H5" s="87"/>
      <c r="I5" s="404" t="s">
        <v>12</v>
      </c>
      <c r="J5" s="404"/>
      <c r="K5" s="403" t="str">
        <f>IF(Form!C2="PAJANCOA&amp;RI, Karaikal", "CHEP03539E", "")</f>
        <v>CHEP03539E</v>
      </c>
      <c r="L5" s="403"/>
    </row>
    <row r="6" spans="1:12" ht="26.25" customHeight="1" x14ac:dyDescent="0.3">
      <c r="A6" s="384"/>
      <c r="B6" s="384"/>
      <c r="C6" s="384"/>
      <c r="D6" s="384"/>
      <c r="E6" s="384"/>
      <c r="F6" s="384"/>
      <c r="G6" s="384"/>
      <c r="H6" s="87"/>
      <c r="I6" s="404" t="s">
        <v>5</v>
      </c>
      <c r="J6" s="404"/>
      <c r="K6" s="404"/>
      <c r="L6" s="86" t="str">
        <f>CONCATENATE(Form!C3, " - ", Form!E3)</f>
        <v>2025 - 2026</v>
      </c>
    </row>
    <row r="7" spans="1:12" ht="20.25" customHeight="1" x14ac:dyDescent="0.3">
      <c r="A7" s="389" t="s">
        <v>44</v>
      </c>
      <c r="B7" s="389"/>
      <c r="C7" s="389"/>
      <c r="D7" s="390">
        <f>Form!C9</f>
        <v>0</v>
      </c>
      <c r="E7" s="390"/>
      <c r="F7" s="390"/>
      <c r="G7" s="390"/>
      <c r="H7" s="87"/>
      <c r="I7" s="404" t="s">
        <v>0</v>
      </c>
      <c r="J7" s="404"/>
      <c r="K7" s="404"/>
      <c r="L7" s="86" t="str">
        <f>CONCATENATE(Form!C4, " - ", Form!E4)</f>
        <v>2026 - 2027</v>
      </c>
    </row>
    <row r="8" spans="1:12" ht="18.75" customHeight="1" x14ac:dyDescent="0.3">
      <c r="A8" s="389" t="s">
        <v>42</v>
      </c>
      <c r="B8" s="389"/>
      <c r="C8" s="389"/>
      <c r="D8" s="389">
        <f>Form!C10</f>
        <v>0</v>
      </c>
      <c r="E8" s="389"/>
      <c r="F8" s="389"/>
      <c r="G8" s="389"/>
      <c r="H8" s="85"/>
      <c r="I8" s="85"/>
      <c r="J8" s="85"/>
      <c r="K8" s="85"/>
      <c r="L8" s="87"/>
    </row>
    <row r="9" spans="1:12" ht="26.1" customHeight="1" x14ac:dyDescent="0.3">
      <c r="A9" s="389" t="s">
        <v>238</v>
      </c>
      <c r="B9" s="389"/>
      <c r="C9" s="389"/>
      <c r="D9" s="435" t="str">
        <f>Form!H17</f>
        <v>New regime</v>
      </c>
      <c r="E9" s="435"/>
      <c r="F9" s="435"/>
      <c r="G9" s="435"/>
      <c r="H9" s="88" t="s">
        <v>52</v>
      </c>
      <c r="I9" s="88" t="s">
        <v>63</v>
      </c>
      <c r="J9" s="406">
        <f>Form!C12</f>
        <v>0</v>
      </c>
      <c r="K9" s="407"/>
      <c r="L9" s="407"/>
    </row>
    <row r="10" spans="1:12" ht="21" customHeight="1" x14ac:dyDescent="0.3">
      <c r="A10" s="424" t="s">
        <v>149</v>
      </c>
      <c r="B10" s="424"/>
      <c r="C10" s="424"/>
      <c r="D10" s="424"/>
      <c r="E10" s="424"/>
      <c r="F10" s="424"/>
      <c r="G10" s="424"/>
      <c r="H10" s="424"/>
      <c r="I10" s="424"/>
      <c r="J10" s="424"/>
      <c r="K10" s="89" t="s">
        <v>148</v>
      </c>
      <c r="L10" s="89" t="s">
        <v>19</v>
      </c>
    </row>
    <row r="11" spans="1:12" ht="43.5" customHeight="1" x14ac:dyDescent="0.3">
      <c r="A11" s="422">
        <v>1</v>
      </c>
      <c r="B11" s="90" t="s">
        <v>147</v>
      </c>
      <c r="C11" s="426" t="s">
        <v>498</v>
      </c>
      <c r="D11" s="374"/>
      <c r="E11" s="374"/>
      <c r="F11" s="374"/>
      <c r="G11" s="374"/>
      <c r="H11" s="374"/>
      <c r="I11" s="374"/>
      <c r="J11" s="374"/>
      <c r="K11" s="91">
        <f>'Monthly Salary'!K17</f>
        <v>0</v>
      </c>
      <c r="L11" s="400"/>
    </row>
    <row r="12" spans="1:12" ht="21" customHeight="1" x14ac:dyDescent="0.3">
      <c r="A12" s="422"/>
      <c r="B12" s="92" t="s">
        <v>150</v>
      </c>
      <c r="C12" s="421" t="s">
        <v>151</v>
      </c>
      <c r="D12" s="421"/>
      <c r="E12" s="421"/>
      <c r="F12" s="421"/>
      <c r="G12" s="421"/>
      <c r="H12" s="421"/>
      <c r="I12" s="421"/>
      <c r="J12" s="421"/>
      <c r="K12" s="93"/>
      <c r="L12" s="401"/>
    </row>
    <row r="13" spans="1:12" ht="24" customHeight="1" x14ac:dyDescent="0.3">
      <c r="A13" s="422"/>
      <c r="B13" s="92" t="s">
        <v>153</v>
      </c>
      <c r="C13" s="421" t="s">
        <v>152</v>
      </c>
      <c r="D13" s="421"/>
      <c r="E13" s="421"/>
      <c r="F13" s="421"/>
      <c r="G13" s="421"/>
      <c r="H13" s="421"/>
      <c r="I13" s="421"/>
      <c r="J13" s="421"/>
      <c r="K13" s="93"/>
      <c r="L13" s="402"/>
    </row>
    <row r="14" spans="1:12" ht="21" customHeight="1" x14ac:dyDescent="0.3">
      <c r="A14" s="422"/>
      <c r="B14" s="92" t="s">
        <v>154</v>
      </c>
      <c r="C14" s="429" t="s">
        <v>19</v>
      </c>
      <c r="D14" s="429"/>
      <c r="E14" s="429"/>
      <c r="F14" s="429"/>
      <c r="G14" s="429"/>
      <c r="H14" s="429"/>
      <c r="I14" s="429"/>
      <c r="J14" s="429"/>
      <c r="K14" s="94"/>
      <c r="L14" s="115">
        <f>SUM(K11:K13)</f>
        <v>0</v>
      </c>
    </row>
    <row r="15" spans="1:12" ht="21" customHeight="1" x14ac:dyDescent="0.3">
      <c r="A15" s="422"/>
      <c r="B15" s="92" t="s">
        <v>156</v>
      </c>
      <c r="C15" s="421" t="s">
        <v>155</v>
      </c>
      <c r="D15" s="421"/>
      <c r="E15" s="421"/>
      <c r="F15" s="421"/>
      <c r="G15" s="421"/>
      <c r="H15" s="421"/>
      <c r="I15" s="421"/>
      <c r="J15" s="421"/>
      <c r="K15" s="95"/>
      <c r="L15" s="116"/>
    </row>
    <row r="16" spans="1:12" x14ac:dyDescent="0.3">
      <c r="A16" s="423" t="s">
        <v>157</v>
      </c>
      <c r="B16" s="423"/>
      <c r="C16" s="423"/>
      <c r="D16" s="423"/>
      <c r="E16" s="423"/>
      <c r="F16" s="423"/>
      <c r="G16" s="423"/>
      <c r="H16" s="423"/>
      <c r="I16" s="423"/>
      <c r="J16" s="423"/>
      <c r="K16" s="94"/>
      <c r="L16" s="117">
        <f>SUM(L14,K15)</f>
        <v>0</v>
      </c>
    </row>
    <row r="17" spans="1:12" ht="17.100000000000001" customHeight="1" x14ac:dyDescent="0.3">
      <c r="A17" s="427">
        <v>2</v>
      </c>
      <c r="B17" s="424" t="s">
        <v>499</v>
      </c>
      <c r="C17" s="424"/>
      <c r="D17" s="424"/>
      <c r="E17" s="424"/>
      <c r="F17" s="424"/>
      <c r="G17" s="424"/>
      <c r="H17" s="424"/>
      <c r="I17" s="424"/>
      <c r="J17" s="424"/>
      <c r="K17" s="424"/>
      <c r="L17" s="424"/>
    </row>
    <row r="18" spans="1:12" ht="20.100000000000001" customHeight="1" x14ac:dyDescent="0.3">
      <c r="A18" s="428"/>
      <c r="B18" s="96" t="s">
        <v>147</v>
      </c>
      <c r="C18" s="378" t="s">
        <v>158</v>
      </c>
      <c r="D18" s="378"/>
      <c r="E18" s="378"/>
      <c r="F18" s="378"/>
      <c r="G18" s="378"/>
      <c r="H18" s="378"/>
      <c r="I18" s="378"/>
      <c r="J18" s="378"/>
      <c r="K18" s="98"/>
      <c r="L18" s="393"/>
    </row>
    <row r="19" spans="1:12" ht="17.25" customHeight="1" x14ac:dyDescent="0.3">
      <c r="A19" s="428"/>
      <c r="B19" s="96" t="s">
        <v>150</v>
      </c>
      <c r="C19" s="378" t="s">
        <v>159</v>
      </c>
      <c r="D19" s="378"/>
      <c r="E19" s="378"/>
      <c r="F19" s="378"/>
      <c r="G19" s="378"/>
      <c r="H19" s="378"/>
      <c r="I19" s="378"/>
      <c r="J19" s="378"/>
      <c r="K19" s="99"/>
      <c r="L19" s="394"/>
    </row>
    <row r="20" spans="1:12" ht="17.25" customHeight="1" x14ac:dyDescent="0.3">
      <c r="A20" s="428"/>
      <c r="B20" s="96" t="s">
        <v>153</v>
      </c>
      <c r="C20" s="380" t="s">
        <v>160</v>
      </c>
      <c r="D20" s="380"/>
      <c r="E20" s="380"/>
      <c r="F20" s="380"/>
      <c r="G20" s="380"/>
      <c r="H20" s="380"/>
      <c r="I20" s="380"/>
      <c r="J20" s="380"/>
      <c r="K20" s="99"/>
      <c r="L20" s="394"/>
    </row>
    <row r="21" spans="1:12" ht="17.25" customHeight="1" x14ac:dyDescent="0.3">
      <c r="A21" s="428"/>
      <c r="B21" s="96" t="s">
        <v>154</v>
      </c>
      <c r="C21" s="380" t="s">
        <v>161</v>
      </c>
      <c r="D21" s="380"/>
      <c r="E21" s="380"/>
      <c r="F21" s="380"/>
      <c r="G21" s="380"/>
      <c r="H21" s="380"/>
      <c r="I21" s="380"/>
      <c r="J21" s="380"/>
      <c r="K21" s="100"/>
      <c r="L21" s="394"/>
    </row>
    <row r="22" spans="1:12" ht="27" customHeight="1" x14ac:dyDescent="0.3">
      <c r="A22" s="428"/>
      <c r="B22" s="104" t="s">
        <v>162</v>
      </c>
      <c r="C22" s="430" t="s">
        <v>163</v>
      </c>
      <c r="D22" s="431"/>
      <c r="E22" s="431"/>
      <c r="F22" s="431"/>
      <c r="G22" s="431"/>
      <c r="H22" s="431"/>
      <c r="I22" s="431"/>
      <c r="J22" s="431"/>
      <c r="K22" s="432"/>
      <c r="L22" s="394"/>
    </row>
    <row r="23" spans="1:12" ht="20.100000000000001" customHeight="1" x14ac:dyDescent="0.3">
      <c r="A23" s="428"/>
      <c r="B23" s="96"/>
      <c r="C23" s="96" t="s">
        <v>164</v>
      </c>
      <c r="D23" s="378" t="s">
        <v>165</v>
      </c>
      <c r="E23" s="378"/>
      <c r="F23" s="378"/>
      <c r="G23" s="378"/>
      <c r="H23" s="378"/>
      <c r="I23" s="378"/>
      <c r="J23" s="101">
        <f>'Monthly Salary'!H23</f>
        <v>0</v>
      </c>
      <c r="K23" s="418"/>
      <c r="L23" s="394"/>
    </row>
    <row r="24" spans="1:12" ht="20.100000000000001" customHeight="1" x14ac:dyDescent="0.3">
      <c r="A24" s="428"/>
      <c r="B24" s="96"/>
      <c r="C24" s="96" t="s">
        <v>166</v>
      </c>
      <c r="D24" s="378" t="s">
        <v>167</v>
      </c>
      <c r="E24" s="378"/>
      <c r="F24" s="378"/>
      <c r="G24" s="378"/>
      <c r="H24" s="378"/>
      <c r="I24" s="378"/>
      <c r="J24" s="101">
        <f>IF(('Monthly Salary'!Q23-(('Monthly Salary'!D23+'Monthly Salary'!G23+'Monthly Salary'!E23)*10%))&lt;=0, 0, ROUND(('Monthly Salary'!Q23-(('Monthly Salary'!D23+'Monthly Salary'!G23+'Monthly Salary'!E23)*10%)),0))</f>
        <v>0</v>
      </c>
      <c r="K24" s="419"/>
      <c r="L24" s="394"/>
    </row>
    <row r="25" spans="1:12" ht="20.100000000000001" customHeight="1" x14ac:dyDescent="0.3">
      <c r="A25" s="428"/>
      <c r="B25" s="96"/>
      <c r="C25" s="96" t="s">
        <v>168</v>
      </c>
      <c r="D25" s="378" t="s">
        <v>169</v>
      </c>
      <c r="E25" s="378"/>
      <c r="F25" s="378"/>
      <c r="G25" s="378"/>
      <c r="H25" s="378"/>
      <c r="I25" s="378"/>
      <c r="J25" s="101">
        <f>('Monthly Salary'!G23+'Monthly Salary'!D23)*40%</f>
        <v>0</v>
      </c>
      <c r="K25" s="420"/>
      <c r="L25" s="394"/>
    </row>
    <row r="26" spans="1:12" ht="20.100000000000001" customHeight="1" x14ac:dyDescent="0.3">
      <c r="A26" s="428"/>
      <c r="B26" s="96"/>
      <c r="C26" s="436" t="s">
        <v>170</v>
      </c>
      <c r="D26" s="436"/>
      <c r="E26" s="436"/>
      <c r="F26" s="436"/>
      <c r="G26" s="436"/>
      <c r="H26" s="436"/>
      <c r="I26" s="436"/>
      <c r="J26" s="436"/>
      <c r="K26" s="102">
        <f>MIN(J23:J25)</f>
        <v>0</v>
      </c>
      <c r="L26" s="394"/>
    </row>
    <row r="27" spans="1:12" ht="17.100000000000001" customHeight="1" x14ac:dyDescent="0.3">
      <c r="A27" s="428"/>
      <c r="B27" s="96" t="s">
        <v>171</v>
      </c>
      <c r="C27" s="380" t="s">
        <v>172</v>
      </c>
      <c r="D27" s="380"/>
      <c r="E27" s="380"/>
      <c r="F27" s="380"/>
      <c r="G27" s="380"/>
      <c r="H27" s="380"/>
      <c r="I27" s="380"/>
      <c r="J27" s="380"/>
      <c r="K27" s="103"/>
      <c r="L27" s="394"/>
    </row>
    <row r="28" spans="1:12" ht="17.100000000000001" customHeight="1" x14ac:dyDescent="0.3">
      <c r="A28" s="428"/>
      <c r="B28" s="96" t="s">
        <v>173</v>
      </c>
      <c r="C28" s="380" t="s">
        <v>174</v>
      </c>
      <c r="D28" s="380"/>
      <c r="E28" s="380"/>
      <c r="F28" s="380"/>
      <c r="G28" s="380"/>
      <c r="H28" s="380"/>
      <c r="I28" s="380"/>
      <c r="J28" s="380"/>
      <c r="K28" s="100"/>
      <c r="L28" s="394"/>
    </row>
    <row r="29" spans="1:12" ht="20.399999999999999" customHeight="1" x14ac:dyDescent="0.3">
      <c r="A29" s="428"/>
      <c r="B29" s="96" t="s">
        <v>175</v>
      </c>
      <c r="C29" s="378" t="s">
        <v>176</v>
      </c>
      <c r="D29" s="378"/>
      <c r="E29" s="378"/>
      <c r="F29" s="378"/>
      <c r="G29" s="378"/>
      <c r="H29" s="378"/>
      <c r="I29" s="378"/>
      <c r="J29" s="378"/>
      <c r="K29" s="103"/>
      <c r="L29" s="395"/>
    </row>
    <row r="30" spans="1:12" ht="18.600000000000001" customHeight="1" x14ac:dyDescent="0.3">
      <c r="A30" s="428"/>
      <c r="B30" s="96" t="s">
        <v>164</v>
      </c>
      <c r="C30" s="378" t="s">
        <v>177</v>
      </c>
      <c r="D30" s="378"/>
      <c r="E30" s="378"/>
      <c r="F30" s="378"/>
      <c r="G30" s="378"/>
      <c r="H30" s="378"/>
      <c r="I30" s="378"/>
      <c r="J30" s="378"/>
      <c r="K30" s="391"/>
      <c r="L30" s="118">
        <f>SUM(K26:K29,K18:K21)</f>
        <v>0</v>
      </c>
    </row>
    <row r="31" spans="1:12" ht="18" customHeight="1" x14ac:dyDescent="0.3">
      <c r="A31" s="96">
        <v>3</v>
      </c>
      <c r="B31" s="437" t="s">
        <v>178</v>
      </c>
      <c r="C31" s="438"/>
      <c r="D31" s="438"/>
      <c r="E31" s="438"/>
      <c r="F31" s="438"/>
      <c r="G31" s="438"/>
      <c r="H31" s="438"/>
      <c r="I31" s="438"/>
      <c r="J31" s="439"/>
      <c r="K31" s="392"/>
      <c r="L31" s="118">
        <f>L14-L30</f>
        <v>0</v>
      </c>
    </row>
    <row r="32" spans="1:12" ht="15.9" customHeight="1" x14ac:dyDescent="0.3">
      <c r="A32" s="104">
        <v>4</v>
      </c>
      <c r="B32" s="408" t="s">
        <v>208</v>
      </c>
      <c r="C32" s="408"/>
      <c r="D32" s="408"/>
      <c r="E32" s="408"/>
      <c r="F32" s="408"/>
      <c r="G32" s="408"/>
      <c r="H32" s="408"/>
      <c r="I32" s="408"/>
      <c r="J32" s="408"/>
      <c r="K32" s="408"/>
      <c r="L32" s="408"/>
    </row>
    <row r="33" spans="1:18" ht="15" customHeight="1" x14ac:dyDescent="0.3">
      <c r="A33" s="105"/>
      <c r="B33" s="104" t="s">
        <v>147</v>
      </c>
      <c r="C33" s="397" t="s">
        <v>179</v>
      </c>
      <c r="D33" s="397"/>
      <c r="E33" s="397"/>
      <c r="F33" s="397"/>
      <c r="G33" s="397"/>
      <c r="H33" s="397"/>
      <c r="I33" s="397"/>
      <c r="J33" s="397"/>
      <c r="K33" s="106">
        <f>IF(K11=0,0,IF(D9="Old regime",50000, IF(D9="New regime",75000, "Error")))</f>
        <v>0</v>
      </c>
      <c r="L33" s="351"/>
    </row>
    <row r="34" spans="1:18" ht="15" customHeight="1" x14ac:dyDescent="0.3">
      <c r="A34" s="105"/>
      <c r="B34" s="104" t="s">
        <v>150</v>
      </c>
      <c r="C34" s="397" t="s">
        <v>180</v>
      </c>
      <c r="D34" s="397"/>
      <c r="E34" s="397"/>
      <c r="F34" s="397"/>
      <c r="G34" s="397"/>
      <c r="H34" s="397"/>
      <c r="I34" s="397"/>
      <c r="J34" s="397"/>
      <c r="K34" s="107"/>
      <c r="L34" s="352"/>
    </row>
    <row r="35" spans="1:18" ht="15" customHeight="1" x14ac:dyDescent="0.3">
      <c r="A35" s="105"/>
      <c r="B35" s="104" t="s">
        <v>153</v>
      </c>
      <c r="C35" s="397" t="s">
        <v>181</v>
      </c>
      <c r="D35" s="397"/>
      <c r="E35" s="397"/>
      <c r="F35" s="397"/>
      <c r="G35" s="397"/>
      <c r="H35" s="397"/>
      <c r="I35" s="397"/>
      <c r="J35" s="397"/>
      <c r="K35" s="107"/>
      <c r="L35" s="353"/>
    </row>
    <row r="36" spans="1:18" ht="20.100000000000001" customHeight="1" x14ac:dyDescent="0.3">
      <c r="A36" s="96">
        <v>5</v>
      </c>
      <c r="B36" s="381" t="s">
        <v>182</v>
      </c>
      <c r="C36" s="381"/>
      <c r="D36" s="381"/>
      <c r="E36" s="381"/>
      <c r="F36" s="381"/>
      <c r="G36" s="381"/>
      <c r="H36" s="381"/>
      <c r="I36" s="381"/>
      <c r="J36" s="381"/>
      <c r="K36" s="391"/>
      <c r="L36" s="118">
        <f>SUM(K33:K35)</f>
        <v>0</v>
      </c>
    </row>
    <row r="37" spans="1:18" ht="20.100000000000001" customHeight="1" x14ac:dyDescent="0.3">
      <c r="A37" s="96">
        <v>6</v>
      </c>
      <c r="B37" s="381" t="s">
        <v>183</v>
      </c>
      <c r="C37" s="381"/>
      <c r="D37" s="381"/>
      <c r="E37" s="381"/>
      <c r="F37" s="381"/>
      <c r="G37" s="381"/>
      <c r="H37" s="381"/>
      <c r="I37" s="381"/>
      <c r="J37" s="381"/>
      <c r="K37" s="392"/>
      <c r="L37" s="115">
        <f>L31+L15-L36</f>
        <v>0</v>
      </c>
    </row>
    <row r="38" spans="1:18" ht="14.1" customHeight="1" x14ac:dyDescent="0.3">
      <c r="A38" s="96">
        <v>7</v>
      </c>
      <c r="B38" s="382" t="s">
        <v>184</v>
      </c>
      <c r="C38" s="382"/>
      <c r="D38" s="382"/>
      <c r="E38" s="382"/>
      <c r="F38" s="382"/>
      <c r="G38" s="382"/>
      <c r="H38" s="382"/>
      <c r="I38" s="382"/>
      <c r="J38" s="382"/>
      <c r="K38" s="382"/>
      <c r="L38" s="382"/>
    </row>
    <row r="39" spans="1:18" ht="20.100000000000001" customHeight="1" x14ac:dyDescent="0.3">
      <c r="A39" s="97"/>
      <c r="B39" s="96" t="s">
        <v>147</v>
      </c>
      <c r="C39" s="383" t="s">
        <v>252</v>
      </c>
      <c r="D39" s="378"/>
      <c r="E39" s="378"/>
      <c r="F39" s="378"/>
      <c r="G39" s="378"/>
      <c r="H39" s="378"/>
      <c r="I39" s="378"/>
      <c r="J39" s="378"/>
      <c r="K39" s="140">
        <f>'Monthly Salary'!K20</f>
        <v>0</v>
      </c>
      <c r="L39" s="393"/>
    </row>
    <row r="40" spans="1:18" ht="20.100000000000001" customHeight="1" x14ac:dyDescent="0.3">
      <c r="A40" s="97"/>
      <c r="B40" s="96" t="s">
        <v>150</v>
      </c>
      <c r="C40" s="383" t="s">
        <v>241</v>
      </c>
      <c r="D40" s="378"/>
      <c r="E40" s="378"/>
      <c r="F40" s="378"/>
      <c r="G40" s="378"/>
      <c r="H40" s="378"/>
      <c r="I40" s="378"/>
      <c r="J40" s="378"/>
      <c r="K40" s="140">
        <f>'Monthly Salary'!K21</f>
        <v>0</v>
      </c>
      <c r="L40" s="394"/>
    </row>
    <row r="41" spans="1:18" ht="20.100000000000001" customHeight="1" x14ac:dyDescent="0.3">
      <c r="A41" s="97"/>
      <c r="B41" s="96" t="s">
        <v>153</v>
      </c>
      <c r="C41" s="383" t="s">
        <v>251</v>
      </c>
      <c r="D41" s="378"/>
      <c r="E41" s="378"/>
      <c r="F41" s="378"/>
      <c r="G41" s="378"/>
      <c r="H41" s="378"/>
      <c r="I41" s="378"/>
      <c r="J41" s="378"/>
      <c r="K41" s="140">
        <f>SUM('Monthly Salary'!K18, 'Monthly Salary'!K19, 'Monthly Salary'!K22)</f>
        <v>0</v>
      </c>
      <c r="L41" s="395"/>
    </row>
    <row r="42" spans="1:18" ht="20.100000000000001" customHeight="1" x14ac:dyDescent="0.3">
      <c r="A42" s="381" t="s">
        <v>243</v>
      </c>
      <c r="B42" s="381"/>
      <c r="C42" s="381"/>
      <c r="D42" s="381"/>
      <c r="E42" s="381"/>
      <c r="F42" s="381"/>
      <c r="G42" s="381"/>
      <c r="H42" s="381"/>
      <c r="I42" s="381"/>
      <c r="J42" s="381"/>
      <c r="K42" s="108"/>
      <c r="L42" s="118">
        <f>SUM(K39:K41)</f>
        <v>0</v>
      </c>
    </row>
    <row r="43" spans="1:18" ht="20.100000000000001" customHeight="1" x14ac:dyDescent="0.3">
      <c r="A43" s="441"/>
      <c r="B43" s="442"/>
      <c r="C43" s="442"/>
      <c r="D43" s="442"/>
      <c r="E43" s="442"/>
      <c r="F43" s="442"/>
      <c r="G43" s="442"/>
      <c r="H43" s="442"/>
      <c r="I43" s="442"/>
      <c r="J43" s="443"/>
      <c r="K43" s="119" t="s">
        <v>185</v>
      </c>
      <c r="L43" s="119" t="s">
        <v>186</v>
      </c>
    </row>
    <row r="44" spans="1:18" ht="20.100000000000001" customHeight="1" x14ac:dyDescent="0.3">
      <c r="A44" s="96">
        <v>8</v>
      </c>
      <c r="B44" s="382" t="s">
        <v>187</v>
      </c>
      <c r="C44" s="382"/>
      <c r="D44" s="382"/>
      <c r="E44" s="382"/>
      <c r="F44" s="382"/>
      <c r="G44" s="382"/>
      <c r="H44" s="382"/>
      <c r="I44" s="382"/>
      <c r="J44" s="382"/>
      <c r="K44" s="109"/>
      <c r="L44" s="118">
        <f>IF(K44&gt;=200000,200000,K44)</f>
        <v>0</v>
      </c>
    </row>
    <row r="45" spans="1:18" ht="18" customHeight="1" x14ac:dyDescent="0.3">
      <c r="A45" s="104">
        <v>9</v>
      </c>
      <c r="B45" s="436" t="s">
        <v>249</v>
      </c>
      <c r="C45" s="436"/>
      <c r="D45" s="436"/>
      <c r="E45" s="436"/>
      <c r="F45" s="436"/>
      <c r="G45" s="436"/>
      <c r="H45" s="436"/>
      <c r="I45" s="436"/>
      <c r="J45" s="436"/>
      <c r="K45" s="108"/>
      <c r="L45" s="118">
        <f>IF((L37+L42-L44)&lt;0,0,(L37+L42-L44))</f>
        <v>0</v>
      </c>
    </row>
    <row r="46" spans="1:18" ht="18" customHeight="1" x14ac:dyDescent="0.3">
      <c r="A46" s="104"/>
      <c r="B46" s="386" t="s">
        <v>250</v>
      </c>
      <c r="C46" s="387"/>
      <c r="D46" s="387"/>
      <c r="E46" s="387"/>
      <c r="F46" s="387"/>
      <c r="G46" s="387"/>
      <c r="H46" s="387"/>
      <c r="I46" s="387"/>
      <c r="J46" s="388"/>
      <c r="K46" s="108"/>
      <c r="L46" s="118">
        <f>IF((L37+L42)&lt;0,0,(L37+L42))</f>
        <v>0</v>
      </c>
    </row>
    <row r="47" spans="1:18" ht="18" customHeight="1" x14ac:dyDescent="0.3">
      <c r="A47" s="104">
        <v>10</v>
      </c>
      <c r="B47" s="408" t="s">
        <v>188</v>
      </c>
      <c r="C47" s="408"/>
      <c r="D47" s="408"/>
      <c r="E47" s="408"/>
      <c r="F47" s="408"/>
      <c r="G47" s="408"/>
      <c r="H47" s="408"/>
      <c r="I47" s="408"/>
      <c r="J47" s="408"/>
      <c r="K47" s="408"/>
      <c r="L47" s="408"/>
      <c r="R47" s="82"/>
    </row>
    <row r="48" spans="1:18" ht="18" customHeight="1" x14ac:dyDescent="0.3">
      <c r="A48" s="337" t="s">
        <v>147</v>
      </c>
      <c r="B48" s="440" t="s">
        <v>190</v>
      </c>
      <c r="C48" s="440"/>
      <c r="D48" s="440"/>
      <c r="E48" s="440"/>
      <c r="F48" s="440"/>
      <c r="G48" s="440"/>
      <c r="H48" s="440"/>
      <c r="I48" s="440"/>
      <c r="J48" s="440"/>
      <c r="K48" s="440"/>
      <c r="L48" s="440"/>
    </row>
    <row r="49" spans="1:12" ht="15" customHeight="1" x14ac:dyDescent="0.3">
      <c r="A49" s="337"/>
      <c r="B49" s="104" t="s">
        <v>164</v>
      </c>
      <c r="C49" s="380" t="s">
        <v>189</v>
      </c>
      <c r="D49" s="380"/>
      <c r="E49" s="380"/>
      <c r="F49" s="380"/>
      <c r="G49" s="380"/>
      <c r="H49" s="380"/>
      <c r="I49" s="380"/>
      <c r="J49" s="380"/>
      <c r="K49" s="101">
        <f>'Monthly Salary'!L17</f>
        <v>0</v>
      </c>
      <c r="L49" s="377"/>
    </row>
    <row r="50" spans="1:12" ht="15" customHeight="1" x14ac:dyDescent="0.3">
      <c r="A50" s="337"/>
      <c r="B50" s="104" t="s">
        <v>166</v>
      </c>
      <c r="C50" s="378" t="s">
        <v>191</v>
      </c>
      <c r="D50" s="378"/>
      <c r="E50" s="378"/>
      <c r="F50" s="378"/>
      <c r="G50" s="378"/>
      <c r="H50" s="378"/>
      <c r="I50" s="378"/>
      <c r="J50" s="378"/>
      <c r="K50" s="433">
        <f>'Monthly Salary'!M17</f>
        <v>0</v>
      </c>
      <c r="L50" s="377"/>
    </row>
    <row r="51" spans="1:12" ht="15" customHeight="1" x14ac:dyDescent="0.3">
      <c r="A51" s="337"/>
      <c r="B51" s="104" t="s">
        <v>168</v>
      </c>
      <c r="C51" s="378" t="s">
        <v>192</v>
      </c>
      <c r="D51" s="378"/>
      <c r="E51" s="378"/>
      <c r="F51" s="378"/>
      <c r="G51" s="378"/>
      <c r="H51" s="378"/>
      <c r="I51" s="378"/>
      <c r="J51" s="378"/>
      <c r="K51" s="434"/>
      <c r="L51" s="377"/>
    </row>
    <row r="52" spans="1:12" ht="15" customHeight="1" x14ac:dyDescent="0.3">
      <c r="A52" s="337"/>
      <c r="B52" s="104" t="s">
        <v>193</v>
      </c>
      <c r="C52" s="378" t="s">
        <v>194</v>
      </c>
      <c r="D52" s="378"/>
      <c r="E52" s="378"/>
      <c r="F52" s="378"/>
      <c r="G52" s="378"/>
      <c r="H52" s="378"/>
      <c r="I52" s="378"/>
      <c r="J52" s="378"/>
      <c r="K52" s="109"/>
      <c r="L52" s="377"/>
    </row>
    <row r="53" spans="1:12" ht="15" customHeight="1" x14ac:dyDescent="0.3">
      <c r="A53" s="337"/>
      <c r="B53" s="104" t="s">
        <v>195</v>
      </c>
      <c r="C53" s="378" t="s">
        <v>196</v>
      </c>
      <c r="D53" s="378"/>
      <c r="E53" s="378"/>
      <c r="F53" s="378"/>
      <c r="G53" s="378"/>
      <c r="H53" s="378"/>
      <c r="I53" s="378"/>
      <c r="J53" s="378"/>
      <c r="K53" s="101">
        <f>Form!H15</f>
        <v>0</v>
      </c>
      <c r="L53" s="377"/>
    </row>
    <row r="54" spans="1:12" ht="15" customHeight="1" x14ac:dyDescent="0.3">
      <c r="A54" s="337"/>
      <c r="B54" s="104" t="s">
        <v>197</v>
      </c>
      <c r="C54" s="378" t="s">
        <v>198</v>
      </c>
      <c r="D54" s="378"/>
      <c r="E54" s="378"/>
      <c r="F54" s="378"/>
      <c r="G54" s="378"/>
      <c r="H54" s="378"/>
      <c r="I54" s="378"/>
      <c r="J54" s="378"/>
      <c r="K54" s="101">
        <f>'Monthly Salary'!N17</f>
        <v>0</v>
      </c>
      <c r="L54" s="377"/>
    </row>
    <row r="55" spans="1:12" ht="15" customHeight="1" x14ac:dyDescent="0.3">
      <c r="A55" s="337"/>
      <c r="B55" s="104" t="s">
        <v>199</v>
      </c>
      <c r="C55" s="378" t="s">
        <v>200</v>
      </c>
      <c r="D55" s="378"/>
      <c r="E55" s="378"/>
      <c r="F55" s="378"/>
      <c r="G55" s="378"/>
      <c r="H55" s="378"/>
      <c r="I55" s="378"/>
      <c r="J55" s="378"/>
      <c r="K55" s="109"/>
      <c r="L55" s="377"/>
    </row>
    <row r="56" spans="1:12" ht="15" customHeight="1" x14ac:dyDescent="0.3">
      <c r="A56" s="337"/>
      <c r="B56" s="104" t="s">
        <v>201</v>
      </c>
      <c r="C56" s="378" t="s">
        <v>202</v>
      </c>
      <c r="D56" s="378"/>
      <c r="E56" s="378"/>
      <c r="F56" s="378"/>
      <c r="G56" s="378"/>
      <c r="H56" s="378"/>
      <c r="I56" s="378"/>
      <c r="J56" s="378"/>
      <c r="K56" s="101">
        <f>IF(('Monthly Salary'!R23-'IT statement'!L44)&gt;0, 'Monthly Salary'!R23-'IT statement'!L44, 0)</f>
        <v>0</v>
      </c>
      <c r="L56" s="377"/>
    </row>
    <row r="57" spans="1:12" ht="15" customHeight="1" x14ac:dyDescent="0.3">
      <c r="A57" s="337"/>
      <c r="B57" s="104" t="s">
        <v>203</v>
      </c>
      <c r="C57" s="378" t="s">
        <v>204</v>
      </c>
      <c r="D57" s="378"/>
      <c r="E57" s="378"/>
      <c r="F57" s="378"/>
      <c r="G57" s="378"/>
      <c r="H57" s="378"/>
      <c r="I57" s="378"/>
      <c r="J57" s="378"/>
      <c r="K57" s="109"/>
      <c r="L57" s="377"/>
    </row>
    <row r="58" spans="1:12" ht="27" customHeight="1" x14ac:dyDescent="0.3">
      <c r="A58" s="337"/>
      <c r="B58" s="104" t="s">
        <v>205</v>
      </c>
      <c r="C58" s="380" t="s">
        <v>206</v>
      </c>
      <c r="D58" s="380"/>
      <c r="E58" s="380"/>
      <c r="F58" s="380"/>
      <c r="G58" s="380"/>
      <c r="H58" s="380"/>
      <c r="I58" s="380"/>
      <c r="J58" s="380"/>
      <c r="K58" s="109"/>
      <c r="L58" s="377"/>
    </row>
    <row r="59" spans="1:12" ht="15" customHeight="1" x14ac:dyDescent="0.3">
      <c r="A59" s="337"/>
      <c r="B59" s="104" t="s">
        <v>207</v>
      </c>
      <c r="C59" s="378" t="s">
        <v>32</v>
      </c>
      <c r="D59" s="378"/>
      <c r="E59" s="378"/>
      <c r="F59" s="378"/>
      <c r="G59" s="378"/>
      <c r="H59" s="378"/>
      <c r="I59" s="378"/>
      <c r="J59" s="378"/>
      <c r="K59" s="109"/>
      <c r="L59" s="377"/>
    </row>
    <row r="60" spans="1:12" ht="15" customHeight="1" x14ac:dyDescent="0.3">
      <c r="A60" s="337"/>
      <c r="B60" s="379" t="s">
        <v>210</v>
      </c>
      <c r="C60" s="379"/>
      <c r="D60" s="379"/>
      <c r="E60" s="379"/>
      <c r="F60" s="379"/>
      <c r="G60" s="379"/>
      <c r="H60" s="379"/>
      <c r="I60" s="379"/>
      <c r="J60" s="379"/>
      <c r="K60" s="120">
        <f>SUM(K49:K59)</f>
        <v>0</v>
      </c>
      <c r="L60" s="377"/>
    </row>
    <row r="61" spans="1:12" ht="41.25" customHeight="1" x14ac:dyDescent="0.3">
      <c r="A61" s="121" t="s">
        <v>150</v>
      </c>
      <c r="B61" s="385" t="s">
        <v>209</v>
      </c>
      <c r="C61" s="385"/>
      <c r="D61" s="385"/>
      <c r="E61" s="385"/>
      <c r="F61" s="385"/>
      <c r="G61" s="385"/>
      <c r="H61" s="385"/>
      <c r="I61" s="385"/>
      <c r="J61" s="385"/>
      <c r="K61" s="110"/>
      <c r="L61" s="377"/>
    </row>
    <row r="62" spans="1:12" ht="32.1" customHeight="1" x14ac:dyDescent="0.3">
      <c r="A62" s="121" t="s">
        <v>153</v>
      </c>
      <c r="B62" s="385" t="s">
        <v>211</v>
      </c>
      <c r="C62" s="385"/>
      <c r="D62" s="385"/>
      <c r="E62" s="385"/>
      <c r="F62" s="385"/>
      <c r="G62" s="385"/>
      <c r="H62" s="385"/>
      <c r="I62" s="385"/>
      <c r="J62" s="385"/>
      <c r="K62" s="122"/>
      <c r="L62" s="377"/>
    </row>
    <row r="63" spans="1:12" ht="30" customHeight="1" x14ac:dyDescent="0.3">
      <c r="A63" s="121" t="s">
        <v>154</v>
      </c>
      <c r="B63" s="374" t="s">
        <v>212</v>
      </c>
      <c r="C63" s="374"/>
      <c r="D63" s="374"/>
      <c r="E63" s="374"/>
      <c r="F63" s="374"/>
      <c r="G63" s="374"/>
      <c r="H63" s="374"/>
      <c r="I63" s="374"/>
      <c r="J63" s="374"/>
      <c r="K63" s="123"/>
      <c r="L63" s="115">
        <f>IF(SUM(K62,K61,K60)&gt;=150000,150000,SUM(K62,K61,K60))</f>
        <v>0</v>
      </c>
    </row>
    <row r="64" spans="1:12" ht="32.25" customHeight="1" x14ac:dyDescent="0.3">
      <c r="A64" s="121" t="s">
        <v>162</v>
      </c>
      <c r="B64" s="375" t="s">
        <v>213</v>
      </c>
      <c r="C64" s="375"/>
      <c r="D64" s="375"/>
      <c r="E64" s="375"/>
      <c r="F64" s="375"/>
      <c r="G64" s="375"/>
      <c r="H64" s="375"/>
      <c r="I64" s="375"/>
      <c r="J64" s="375"/>
      <c r="K64" s="109"/>
      <c r="L64" s="124">
        <f>K64</f>
        <v>0</v>
      </c>
    </row>
    <row r="65" spans="1:12" ht="20.100000000000001" customHeight="1" x14ac:dyDescent="0.3">
      <c r="A65" s="121" t="s">
        <v>171</v>
      </c>
      <c r="B65" s="125" t="s">
        <v>214</v>
      </c>
      <c r="C65" s="125"/>
      <c r="D65" s="125"/>
      <c r="E65" s="125"/>
      <c r="F65" s="125"/>
      <c r="G65" s="125"/>
      <c r="H65" s="125"/>
      <c r="I65" s="125"/>
      <c r="J65" s="125"/>
      <c r="K65" s="109"/>
      <c r="L65" s="124">
        <f>K65</f>
        <v>0</v>
      </c>
    </row>
    <row r="66" spans="1:12" ht="47.1" customHeight="1" x14ac:dyDescent="0.3">
      <c r="A66" s="121" t="s">
        <v>173</v>
      </c>
      <c r="B66" s="374" t="s">
        <v>215</v>
      </c>
      <c r="C66" s="374"/>
      <c r="D66" s="374"/>
      <c r="E66" s="374"/>
      <c r="F66" s="374"/>
      <c r="G66" s="374"/>
      <c r="H66" s="374"/>
      <c r="I66" s="374"/>
      <c r="J66" s="374"/>
      <c r="K66" s="109"/>
      <c r="L66" s="124">
        <f>IF(K66&gt;=50000,50000,K66)</f>
        <v>0</v>
      </c>
    </row>
    <row r="67" spans="1:12" ht="39.9" customHeight="1" x14ac:dyDescent="0.3">
      <c r="A67" s="121" t="s">
        <v>175</v>
      </c>
      <c r="B67" s="374" t="s">
        <v>219</v>
      </c>
      <c r="C67" s="374"/>
      <c r="D67" s="374"/>
      <c r="E67" s="374"/>
      <c r="F67" s="374"/>
      <c r="G67" s="374"/>
      <c r="H67" s="374"/>
      <c r="I67" s="374"/>
      <c r="J67" s="374"/>
      <c r="K67" s="109"/>
      <c r="L67" s="124">
        <f>K67</f>
        <v>0</v>
      </c>
    </row>
    <row r="68" spans="1:12" ht="30" customHeight="1" x14ac:dyDescent="0.3">
      <c r="A68" s="121" t="s">
        <v>164</v>
      </c>
      <c r="B68" s="375" t="s">
        <v>216</v>
      </c>
      <c r="C68" s="375"/>
      <c r="D68" s="375"/>
      <c r="E68" s="375"/>
      <c r="F68" s="375"/>
      <c r="G68" s="375"/>
      <c r="H68" s="375"/>
      <c r="I68" s="375"/>
      <c r="J68" s="375"/>
      <c r="K68" s="109"/>
      <c r="L68" s="124">
        <f>K68</f>
        <v>0</v>
      </c>
    </row>
    <row r="69" spans="1:12" ht="27.9" customHeight="1" x14ac:dyDescent="0.3">
      <c r="A69" s="121" t="s">
        <v>217</v>
      </c>
      <c r="B69" s="374" t="s">
        <v>218</v>
      </c>
      <c r="C69" s="374"/>
      <c r="D69" s="374"/>
      <c r="E69" s="374"/>
      <c r="F69" s="374"/>
      <c r="G69" s="374"/>
      <c r="H69" s="374"/>
      <c r="I69" s="374"/>
      <c r="J69" s="374"/>
      <c r="K69" s="109"/>
      <c r="L69" s="124">
        <f>IF(K69&gt;=10000,10000,K69)</f>
        <v>0</v>
      </c>
    </row>
    <row r="70" spans="1:12" x14ac:dyDescent="0.3">
      <c r="A70" s="121" t="s">
        <v>220</v>
      </c>
      <c r="B70" s="376" t="s">
        <v>221</v>
      </c>
      <c r="C70" s="376"/>
      <c r="D70" s="376"/>
      <c r="E70" s="376"/>
      <c r="F70" s="376"/>
      <c r="G70" s="376"/>
      <c r="H70" s="376"/>
      <c r="I70" s="376"/>
      <c r="J70" s="376"/>
      <c r="K70" s="376"/>
      <c r="L70" s="376"/>
    </row>
    <row r="71" spans="1:12" ht="29.1" customHeight="1" x14ac:dyDescent="0.3">
      <c r="A71" s="125"/>
      <c r="B71" s="121" t="s">
        <v>147</v>
      </c>
      <c r="C71" s="375" t="s">
        <v>222</v>
      </c>
      <c r="D71" s="375"/>
      <c r="E71" s="375"/>
      <c r="F71" s="375"/>
      <c r="G71" s="375"/>
      <c r="H71" s="375"/>
      <c r="I71" s="375"/>
      <c r="J71" s="375"/>
      <c r="K71" s="109"/>
      <c r="L71" s="117">
        <f>IF(K71&gt;=125000,125000,K71)</f>
        <v>0</v>
      </c>
    </row>
    <row r="72" spans="1:12" ht="51" customHeight="1" x14ac:dyDescent="0.3">
      <c r="A72" s="125"/>
      <c r="B72" s="121" t="s">
        <v>150</v>
      </c>
      <c r="C72" s="374" t="s">
        <v>223</v>
      </c>
      <c r="D72" s="374"/>
      <c r="E72" s="374"/>
      <c r="F72" s="374"/>
      <c r="G72" s="374"/>
      <c r="H72" s="374"/>
      <c r="I72" s="374"/>
      <c r="J72" s="374"/>
      <c r="K72" s="109"/>
      <c r="L72" s="117">
        <f>IF(K72&gt;=50000,50000,K72)</f>
        <v>0</v>
      </c>
    </row>
    <row r="73" spans="1:12" ht="17.399999999999999" customHeight="1" x14ac:dyDescent="0.3">
      <c r="A73" s="125"/>
      <c r="B73" s="125" t="s">
        <v>153</v>
      </c>
      <c r="C73" s="376" t="s">
        <v>224</v>
      </c>
      <c r="D73" s="376"/>
      <c r="E73" s="376"/>
      <c r="F73" s="376"/>
      <c r="G73" s="376"/>
      <c r="H73" s="376"/>
      <c r="I73" s="376"/>
      <c r="J73" s="376"/>
      <c r="K73" s="109"/>
      <c r="L73" s="117">
        <f>IF(Form!C25="YES",(IF(K73&gt;=50000,50000,K73)),0)</f>
        <v>0</v>
      </c>
    </row>
    <row r="74" spans="1:12" ht="30.9" customHeight="1" x14ac:dyDescent="0.3">
      <c r="A74" s="125"/>
      <c r="B74" s="121" t="s">
        <v>154</v>
      </c>
      <c r="C74" s="374" t="s">
        <v>225</v>
      </c>
      <c r="D74" s="374"/>
      <c r="E74" s="374"/>
      <c r="F74" s="374"/>
      <c r="G74" s="374"/>
      <c r="H74" s="374"/>
      <c r="I74" s="374"/>
      <c r="J74" s="374"/>
      <c r="K74" s="109"/>
      <c r="L74" s="117">
        <f>IF(Form!C26="YES",(IF(K74&gt;=100000,100000,K74)),IF(K74&gt;=40000, 40000,0))</f>
        <v>0</v>
      </c>
    </row>
    <row r="75" spans="1:12" ht="41.1" customHeight="1" x14ac:dyDescent="0.3">
      <c r="A75" s="125"/>
      <c r="B75" s="121" t="s">
        <v>162</v>
      </c>
      <c r="C75" s="374" t="s">
        <v>226</v>
      </c>
      <c r="D75" s="374"/>
      <c r="E75" s="374"/>
      <c r="F75" s="374"/>
      <c r="G75" s="374"/>
      <c r="H75" s="374"/>
      <c r="I75" s="374"/>
      <c r="J75" s="374"/>
      <c r="K75" s="109"/>
      <c r="L75" s="117">
        <f>IF(K75&gt;=125000,125000,K75)</f>
        <v>0</v>
      </c>
    </row>
    <row r="76" spans="1:12" ht="18.75" customHeight="1" x14ac:dyDescent="0.3">
      <c r="A76" s="125" t="s">
        <v>227</v>
      </c>
      <c r="B76" s="367" t="s">
        <v>228</v>
      </c>
      <c r="C76" s="367"/>
      <c r="D76" s="367"/>
      <c r="E76" s="367"/>
      <c r="F76" s="367"/>
      <c r="G76" s="367"/>
      <c r="H76" s="367"/>
      <c r="I76" s="367"/>
      <c r="J76" s="367"/>
      <c r="K76" s="368"/>
      <c r="L76" s="117">
        <f>SUM(L71:L75)</f>
        <v>0</v>
      </c>
    </row>
    <row r="77" spans="1:12" ht="15.75" customHeight="1" x14ac:dyDescent="0.3">
      <c r="A77" s="125" t="s">
        <v>229</v>
      </c>
      <c r="B77" s="367" t="s">
        <v>230</v>
      </c>
      <c r="C77" s="367"/>
      <c r="D77" s="367"/>
      <c r="E77" s="367"/>
      <c r="F77" s="367"/>
      <c r="G77" s="367"/>
      <c r="H77" s="367"/>
      <c r="I77" s="367"/>
      <c r="J77" s="367"/>
      <c r="K77" s="368"/>
      <c r="L77" s="117">
        <f>SUM(L76,L69,L68,L67,L66,L65,L64,L63)</f>
        <v>0</v>
      </c>
    </row>
    <row r="78" spans="1:12" ht="19.5" customHeight="1" x14ac:dyDescent="0.3">
      <c r="A78" s="132">
        <v>11</v>
      </c>
      <c r="B78" s="369" t="s">
        <v>231</v>
      </c>
      <c r="C78" s="370"/>
      <c r="D78" s="370"/>
      <c r="E78" s="370"/>
      <c r="F78" s="370"/>
      <c r="G78" s="370"/>
      <c r="H78" s="370"/>
      <c r="I78" s="370"/>
      <c r="J78" s="371"/>
      <c r="K78" s="368"/>
      <c r="L78" s="117">
        <f>IF(D9="Old regime",ROUND((L45-L77),10),ROUND(L46,10))</f>
        <v>0</v>
      </c>
    </row>
    <row r="79" spans="1:12" x14ac:dyDescent="0.3">
      <c r="A79" s="337">
        <v>12</v>
      </c>
      <c r="B79" s="111" t="s">
        <v>147</v>
      </c>
      <c r="C79" s="358" t="s">
        <v>232</v>
      </c>
      <c r="D79" s="358"/>
      <c r="E79" s="358"/>
      <c r="F79" s="358"/>
      <c r="G79" s="358"/>
      <c r="H79" s="358"/>
      <c r="I79" s="358"/>
      <c r="J79" s="358"/>
      <c r="K79" s="126"/>
      <c r="L79" s="291">
        <f>IF(D9="Old regime", (IF(Form!C25="NO", (IF((L78&lt;=250000),0, IF(AND((L78&gt;250000),(L78&lt;=500000)),(L78-250000)*0.05, IF(AND((L78&gt;500000),(L78&lt;=1000000)),(12500+((L78-500000)*0.2)),(112500+(L78-1000000)*0.3))))), IF((L78&lt;=300000),0, IF(AND((L78&gt;300000),(L78&lt;=500000)),(L78-300000)*0.05, IF(AND((L78&gt;500000),(L78&lt;=1000000)),(10000+((L78-500000)*0.2)),(110000+(L78-1000000)*0.3)))))),0)</f>
        <v>0</v>
      </c>
    </row>
    <row r="80" spans="1:12" x14ac:dyDescent="0.3">
      <c r="A80" s="337"/>
      <c r="B80" s="364"/>
      <c r="C80" s="361" t="s">
        <v>6</v>
      </c>
      <c r="D80" s="362" t="s">
        <v>130</v>
      </c>
      <c r="E80" s="362"/>
      <c r="F80" s="362"/>
      <c r="G80" s="362"/>
      <c r="H80" s="362"/>
      <c r="I80" s="364"/>
      <c r="J80" s="364"/>
      <c r="K80" s="364"/>
      <c r="L80" s="364"/>
    </row>
    <row r="81" spans="1:12" x14ac:dyDescent="0.3">
      <c r="A81" s="337"/>
      <c r="B81" s="364"/>
      <c r="C81" s="361"/>
      <c r="D81" s="362" t="s">
        <v>129</v>
      </c>
      <c r="E81" s="362"/>
      <c r="F81" s="111"/>
      <c r="G81" s="362" t="s">
        <v>7</v>
      </c>
      <c r="H81" s="362"/>
      <c r="I81" s="364"/>
      <c r="J81" s="364"/>
      <c r="K81" s="364"/>
      <c r="L81" s="364"/>
    </row>
    <row r="82" spans="1:12" x14ac:dyDescent="0.3">
      <c r="A82" s="337"/>
      <c r="B82" s="364"/>
      <c r="C82" s="127" t="s">
        <v>233</v>
      </c>
      <c r="D82" s="373" t="s">
        <v>8</v>
      </c>
      <c r="E82" s="373"/>
      <c r="F82" s="294"/>
      <c r="G82" s="373" t="s">
        <v>8</v>
      </c>
      <c r="H82" s="373"/>
      <c r="I82" s="364"/>
      <c r="J82" s="364"/>
      <c r="K82" s="364"/>
      <c r="L82" s="364"/>
    </row>
    <row r="83" spans="1:12" x14ac:dyDescent="0.3">
      <c r="A83" s="337"/>
      <c r="B83" s="364"/>
      <c r="C83" s="127" t="s">
        <v>244</v>
      </c>
      <c r="D83" s="372">
        <v>0.05</v>
      </c>
      <c r="E83" s="373"/>
      <c r="F83" s="294"/>
      <c r="G83" s="373" t="s">
        <v>8</v>
      </c>
      <c r="H83" s="373"/>
      <c r="I83" s="364"/>
      <c r="J83" s="364"/>
      <c r="K83" s="364"/>
      <c r="L83" s="364"/>
    </row>
    <row r="84" spans="1:12" x14ac:dyDescent="0.3">
      <c r="A84" s="337"/>
      <c r="B84" s="364"/>
      <c r="C84" s="127" t="s">
        <v>245</v>
      </c>
      <c r="D84" s="372">
        <v>0.05</v>
      </c>
      <c r="E84" s="372"/>
      <c r="F84" s="294"/>
      <c r="G84" s="372">
        <v>0.05</v>
      </c>
      <c r="H84" s="372"/>
      <c r="I84" s="364"/>
      <c r="J84" s="364"/>
      <c r="K84" s="364"/>
      <c r="L84" s="364"/>
    </row>
    <row r="85" spans="1:12" ht="15.9" customHeight="1" x14ac:dyDescent="0.3">
      <c r="A85" s="337"/>
      <c r="B85" s="364"/>
      <c r="C85" s="127" t="s">
        <v>234</v>
      </c>
      <c r="D85" s="373" t="s">
        <v>134</v>
      </c>
      <c r="E85" s="373"/>
      <c r="F85" s="294"/>
      <c r="G85" s="373" t="s">
        <v>133</v>
      </c>
      <c r="H85" s="373"/>
      <c r="I85" s="364"/>
      <c r="J85" s="364"/>
      <c r="K85" s="364"/>
      <c r="L85" s="364"/>
    </row>
    <row r="86" spans="1:12" ht="15" customHeight="1" x14ac:dyDescent="0.3">
      <c r="A86" s="337"/>
      <c r="B86" s="364"/>
      <c r="C86" s="129" t="s">
        <v>235</v>
      </c>
      <c r="D86" s="373" t="s">
        <v>135</v>
      </c>
      <c r="E86" s="373"/>
      <c r="F86" s="295"/>
      <c r="G86" s="373" t="s">
        <v>136</v>
      </c>
      <c r="H86" s="373"/>
      <c r="I86" s="364"/>
      <c r="J86" s="364"/>
      <c r="K86" s="364"/>
      <c r="L86" s="364"/>
    </row>
    <row r="87" spans="1:12" ht="15" customHeight="1" x14ac:dyDescent="0.3">
      <c r="A87" s="337"/>
      <c r="B87" s="111" t="s">
        <v>150</v>
      </c>
      <c r="C87" s="358" t="s">
        <v>236</v>
      </c>
      <c r="D87" s="358"/>
      <c r="E87" s="358"/>
      <c r="F87" s="358"/>
      <c r="G87" s="358"/>
      <c r="H87" s="358"/>
      <c r="I87" s="358"/>
      <c r="J87" s="358"/>
      <c r="K87" s="126"/>
      <c r="L87" s="291">
        <f>IF(D9="New regime",(IF((L78&lt;=400000),0, IF(AND((L78&gt;400000),(L78&lt;=800000)),((L78-400000)*0.05), IF(AND((L78&gt;800000),(L78&lt;=1200000)),(20000+(L78-800000)*0.1), IF(AND((L78&gt;1200000),(L78&lt;=1600000)),(60000+(L78-1200000)*0.15), IF(AND((L78&gt;1600000),(L78&lt;=2000000)),(120000+(L78-1600000)*0.2), IF(AND((L78&gt;2000000),(L78&lt;=2400000)),(200000+(L78-2000000)*0.25),(300000+(L78-2400000)*0.3)))))))),0)</f>
        <v>0</v>
      </c>
    </row>
    <row r="88" spans="1:12" ht="15" customHeight="1" x14ac:dyDescent="0.3">
      <c r="A88" s="337"/>
      <c r="B88" s="364"/>
      <c r="C88" s="361" t="s">
        <v>6</v>
      </c>
      <c r="D88" s="362" t="s">
        <v>131</v>
      </c>
      <c r="E88" s="362"/>
      <c r="F88" s="362"/>
      <c r="G88" s="362"/>
      <c r="H88" s="362"/>
      <c r="I88" s="364"/>
      <c r="J88" s="364"/>
      <c r="K88" s="364"/>
      <c r="L88" s="364"/>
    </row>
    <row r="89" spans="1:12" ht="17.100000000000001" customHeight="1" x14ac:dyDescent="0.3">
      <c r="A89" s="337"/>
      <c r="B89" s="364"/>
      <c r="C89" s="361"/>
      <c r="D89" s="362" t="s">
        <v>129</v>
      </c>
      <c r="E89" s="362"/>
      <c r="F89" s="111"/>
      <c r="G89" s="362" t="s">
        <v>7</v>
      </c>
      <c r="H89" s="362"/>
      <c r="I89" s="364"/>
      <c r="J89" s="364"/>
      <c r="K89" s="364"/>
      <c r="L89" s="364"/>
    </row>
    <row r="90" spans="1:12" x14ac:dyDescent="0.3">
      <c r="A90" s="337"/>
      <c r="B90" s="364"/>
      <c r="C90" s="127" t="s">
        <v>484</v>
      </c>
      <c r="D90" s="359" t="s">
        <v>8</v>
      </c>
      <c r="E90" s="359"/>
      <c r="F90" s="128"/>
      <c r="G90" s="359" t="s">
        <v>8</v>
      </c>
      <c r="H90" s="359"/>
      <c r="I90" s="364"/>
      <c r="J90" s="364"/>
      <c r="K90" s="364"/>
      <c r="L90" s="364"/>
    </row>
    <row r="91" spans="1:12" x14ac:dyDescent="0.3">
      <c r="A91" s="337"/>
      <c r="B91" s="364"/>
      <c r="C91" s="127" t="s">
        <v>485</v>
      </c>
      <c r="D91" s="363">
        <v>0.05</v>
      </c>
      <c r="E91" s="363"/>
      <c r="F91" s="128"/>
      <c r="G91" s="363">
        <v>0.05</v>
      </c>
      <c r="H91" s="363"/>
      <c r="I91" s="364"/>
      <c r="J91" s="364"/>
      <c r="K91" s="364"/>
      <c r="L91" s="364"/>
    </row>
    <row r="92" spans="1:12" x14ac:dyDescent="0.3">
      <c r="A92" s="337"/>
      <c r="B92" s="364"/>
      <c r="C92" s="127" t="s">
        <v>486</v>
      </c>
      <c r="D92" s="359" t="s">
        <v>257</v>
      </c>
      <c r="E92" s="359"/>
      <c r="F92" s="128"/>
      <c r="G92" s="359" t="s">
        <v>257</v>
      </c>
      <c r="H92" s="359"/>
      <c r="I92" s="364"/>
      <c r="J92" s="364"/>
      <c r="K92" s="364"/>
      <c r="L92" s="364"/>
    </row>
    <row r="93" spans="1:12" x14ac:dyDescent="0.3">
      <c r="A93" s="337"/>
      <c r="B93" s="364"/>
      <c r="C93" s="129" t="s">
        <v>487</v>
      </c>
      <c r="D93" s="359" t="s">
        <v>491</v>
      </c>
      <c r="E93" s="359"/>
      <c r="F93" s="130"/>
      <c r="G93" s="359" t="s">
        <v>491</v>
      </c>
      <c r="H93" s="359"/>
      <c r="I93" s="364"/>
      <c r="J93" s="364"/>
      <c r="K93" s="364"/>
      <c r="L93" s="364"/>
    </row>
    <row r="94" spans="1:12" x14ac:dyDescent="0.3">
      <c r="A94" s="337"/>
      <c r="B94" s="364"/>
      <c r="C94" s="129" t="s">
        <v>488</v>
      </c>
      <c r="D94" s="359" t="s">
        <v>492</v>
      </c>
      <c r="E94" s="359"/>
      <c r="F94" s="130"/>
      <c r="G94" s="359" t="s">
        <v>492</v>
      </c>
      <c r="H94" s="359"/>
      <c r="I94" s="364"/>
      <c r="J94" s="364"/>
      <c r="K94" s="364"/>
      <c r="L94" s="364"/>
    </row>
    <row r="95" spans="1:12" x14ac:dyDescent="0.3">
      <c r="A95" s="337"/>
      <c r="B95" s="364"/>
      <c r="C95" s="129" t="s">
        <v>489</v>
      </c>
      <c r="D95" s="365" t="s">
        <v>493</v>
      </c>
      <c r="E95" s="366"/>
      <c r="F95" s="130"/>
      <c r="G95" s="365" t="s">
        <v>493</v>
      </c>
      <c r="H95" s="366"/>
      <c r="I95" s="364"/>
      <c r="J95" s="364"/>
      <c r="K95" s="364"/>
      <c r="L95" s="364"/>
    </row>
    <row r="96" spans="1:12" x14ac:dyDescent="0.3">
      <c r="A96" s="337"/>
      <c r="B96" s="364"/>
      <c r="C96" s="129" t="s">
        <v>490</v>
      </c>
      <c r="D96" s="359" t="s">
        <v>494</v>
      </c>
      <c r="E96" s="359"/>
      <c r="F96" s="130"/>
      <c r="G96" s="359" t="s">
        <v>494</v>
      </c>
      <c r="H96" s="359"/>
      <c r="I96" s="364"/>
      <c r="J96" s="364"/>
      <c r="K96" s="364"/>
      <c r="L96" s="364"/>
    </row>
    <row r="97" spans="1:20" ht="29.1" customHeight="1" x14ac:dyDescent="0.3">
      <c r="A97" s="104">
        <v>13</v>
      </c>
      <c r="B97" s="360" t="s">
        <v>517</v>
      </c>
      <c r="C97" s="360"/>
      <c r="D97" s="360"/>
      <c r="E97" s="360"/>
      <c r="F97" s="360"/>
      <c r="G97" s="360"/>
      <c r="H97" s="360"/>
      <c r="I97" s="360"/>
      <c r="J97" s="360"/>
      <c r="K97" s="351"/>
      <c r="L97" s="131">
        <f>IF(D9="New regime",(IF(L78=0,0, IF(L78&lt;=1200000,(IF(L87&lt;60000, L87, 60000)),0))), (IF(L78=0,0, IF(L78&lt;=500000,(IF(L79&lt;12500, L79, 12500)),0))))</f>
        <v>0</v>
      </c>
    </row>
    <row r="98" spans="1:20" x14ac:dyDescent="0.3">
      <c r="A98" s="133">
        <v>14</v>
      </c>
      <c r="B98" s="358" t="s">
        <v>263</v>
      </c>
      <c r="C98" s="358"/>
      <c r="D98" s="358"/>
      <c r="E98" s="358"/>
      <c r="F98" s="358"/>
      <c r="G98" s="358"/>
      <c r="H98" s="358"/>
      <c r="I98" s="358"/>
      <c r="J98" s="358"/>
      <c r="K98" s="352"/>
      <c r="L98" s="296">
        <f>IF(D9="Old regime",IF((L79-L97)&lt;=0,0,(L79-L97)),IF(D9="New regime",(IF((L87-L97)&lt;=0,0,(L87-L97))),"Select tax regime"))</f>
        <v>0</v>
      </c>
    </row>
    <row r="99" spans="1:20" x14ac:dyDescent="0.3">
      <c r="A99" s="133">
        <v>15</v>
      </c>
      <c r="B99" s="146" t="s">
        <v>262</v>
      </c>
      <c r="C99" s="147"/>
      <c r="D99" s="147"/>
      <c r="E99" s="147"/>
      <c r="F99" s="147"/>
      <c r="G99" s="147"/>
      <c r="H99" s="147"/>
      <c r="I99" s="147"/>
      <c r="J99" s="148"/>
      <c r="K99" s="352"/>
      <c r="L99" s="112">
        <f>IF((L78&gt;5000000),(L98*0.1),0)</f>
        <v>0</v>
      </c>
    </row>
    <row r="100" spans="1:20" x14ac:dyDescent="0.3">
      <c r="A100" s="133">
        <v>16</v>
      </c>
      <c r="B100" s="146" t="s">
        <v>261</v>
      </c>
      <c r="C100" s="147"/>
      <c r="D100" s="147"/>
      <c r="E100" s="147"/>
      <c r="F100" s="147"/>
      <c r="G100" s="147"/>
      <c r="H100" s="147"/>
      <c r="I100" s="147"/>
      <c r="J100" s="148"/>
      <c r="K100" s="352"/>
      <c r="L100" s="112">
        <f>SUM(L98:L99)*4%</f>
        <v>0</v>
      </c>
    </row>
    <row r="101" spans="1:20" x14ac:dyDescent="0.3">
      <c r="A101" s="133">
        <v>17</v>
      </c>
      <c r="B101" s="146" t="s">
        <v>264</v>
      </c>
      <c r="C101" s="147"/>
      <c r="D101" s="147"/>
      <c r="E101" s="147"/>
      <c r="F101" s="147"/>
      <c r="G101" s="147"/>
      <c r="H101" s="147"/>
      <c r="I101" s="147"/>
      <c r="J101" s="148"/>
      <c r="K101" s="352"/>
      <c r="L101" s="112">
        <f>ROUND((L98+L99+L100),0)</f>
        <v>0</v>
      </c>
    </row>
    <row r="102" spans="1:20" x14ac:dyDescent="0.3">
      <c r="A102" s="133">
        <v>18</v>
      </c>
      <c r="B102" s="146" t="s">
        <v>265</v>
      </c>
      <c r="C102" s="147"/>
      <c r="D102" s="147"/>
      <c r="E102" s="147"/>
      <c r="F102" s="147"/>
      <c r="G102" s="147"/>
      <c r="H102" s="147"/>
      <c r="I102" s="147"/>
      <c r="J102" s="148"/>
      <c r="K102" s="352"/>
      <c r="L102" s="291">
        <f>'Form 10E'!H38</f>
        <v>0</v>
      </c>
    </row>
    <row r="103" spans="1:20" x14ac:dyDescent="0.3">
      <c r="A103" s="133">
        <v>19</v>
      </c>
      <c r="B103" s="146" t="s">
        <v>497</v>
      </c>
      <c r="C103" s="147"/>
      <c r="D103" s="147"/>
      <c r="E103" s="147"/>
      <c r="F103" s="147"/>
      <c r="G103" s="147"/>
      <c r="H103" s="147"/>
      <c r="I103" s="147"/>
      <c r="J103" s="148"/>
      <c r="K103" s="352"/>
      <c r="L103" s="112">
        <f>ROUND((L101-L102),0)</f>
        <v>0</v>
      </c>
    </row>
    <row r="104" spans="1:20" x14ac:dyDescent="0.3">
      <c r="A104" s="337">
        <v>20</v>
      </c>
      <c r="B104" s="348" t="s">
        <v>10</v>
      </c>
      <c r="C104" s="349"/>
      <c r="D104" s="349"/>
      <c r="E104" s="349"/>
      <c r="F104" s="349"/>
      <c r="G104" s="349"/>
      <c r="H104" s="349"/>
      <c r="I104" s="349"/>
      <c r="J104" s="350"/>
      <c r="K104" s="352"/>
      <c r="L104" s="112">
        <f>SUM(D105:D110)+SUM(J105:J107)</f>
        <v>0</v>
      </c>
    </row>
    <row r="105" spans="1:20" x14ac:dyDescent="0.3">
      <c r="A105" s="337"/>
      <c r="B105" s="341" t="str">
        <f>CONCATENATE("March",", ", Form!$C$3)</f>
        <v>March, 2025</v>
      </c>
      <c r="C105" s="342"/>
      <c r="D105" s="343">
        <f>'Monthly Salary'!S5</f>
        <v>0</v>
      </c>
      <c r="E105" s="344"/>
      <c r="F105" s="111"/>
      <c r="G105" s="357" t="str">
        <f>CONCATENATE("September",", ", Form!$C$3)</f>
        <v>September, 2025</v>
      </c>
      <c r="H105" s="357"/>
      <c r="I105" s="111"/>
      <c r="J105" s="112">
        <f>'Monthly Salary'!S11</f>
        <v>0</v>
      </c>
      <c r="K105" s="352"/>
      <c r="L105" s="351"/>
      <c r="N105" s="336" t="s">
        <v>327</v>
      </c>
      <c r="O105" s="336"/>
      <c r="P105" s="336"/>
      <c r="Q105" s="336"/>
      <c r="R105" s="336"/>
      <c r="S105" s="336"/>
      <c r="T105" s="336"/>
    </row>
    <row r="106" spans="1:20" x14ac:dyDescent="0.3">
      <c r="A106" s="337"/>
      <c r="B106" s="341" t="str">
        <f>CONCATENATE("April",", ", Form!$C$3)</f>
        <v>April, 2025</v>
      </c>
      <c r="C106" s="342"/>
      <c r="D106" s="343">
        <f>'Monthly Salary'!S6</f>
        <v>0</v>
      </c>
      <c r="E106" s="344"/>
      <c r="F106" s="111"/>
      <c r="G106" s="357" t="str">
        <f>CONCATENATE("October",", ", Form!$C$3)</f>
        <v>October, 2025</v>
      </c>
      <c r="H106" s="357"/>
      <c r="I106" s="111"/>
      <c r="J106" s="112">
        <f>'Monthly Salary'!S12</f>
        <v>0</v>
      </c>
      <c r="K106" s="352"/>
      <c r="L106" s="352"/>
      <c r="N106" s="336"/>
      <c r="O106" s="336"/>
      <c r="P106" s="336"/>
      <c r="Q106" s="336"/>
      <c r="R106" s="336"/>
      <c r="S106" s="336"/>
      <c r="T106" s="336"/>
    </row>
    <row r="107" spans="1:20" x14ac:dyDescent="0.3">
      <c r="A107" s="337"/>
      <c r="B107" s="341" t="str">
        <f>CONCATENATE("May",", ", Form!$C$3)</f>
        <v>May, 2025</v>
      </c>
      <c r="C107" s="342"/>
      <c r="D107" s="343">
        <f>'Monthly Salary'!S7</f>
        <v>0</v>
      </c>
      <c r="E107" s="344"/>
      <c r="F107" s="111"/>
      <c r="G107" s="357" t="str">
        <f>CONCATENATE("November",", ", Form!$C$3)</f>
        <v>November, 2025</v>
      </c>
      <c r="H107" s="357"/>
      <c r="I107" s="111"/>
      <c r="J107" s="112">
        <f>'Monthly Salary'!S13</f>
        <v>0</v>
      </c>
      <c r="K107" s="352"/>
      <c r="L107" s="352"/>
      <c r="N107" s="336"/>
      <c r="O107" s="336"/>
      <c r="P107" s="336"/>
      <c r="Q107" s="336"/>
      <c r="R107" s="336"/>
      <c r="S107" s="336"/>
      <c r="T107" s="336"/>
    </row>
    <row r="108" spans="1:20" x14ac:dyDescent="0.3">
      <c r="A108" s="337"/>
      <c r="B108" s="341" t="str">
        <f>CONCATENATE("June",", ", Form!$C$3)</f>
        <v>June, 2025</v>
      </c>
      <c r="C108" s="342"/>
      <c r="D108" s="343">
        <f>'Monthly Salary'!S8</f>
        <v>0</v>
      </c>
      <c r="E108" s="344"/>
      <c r="F108" s="111"/>
      <c r="G108" s="357"/>
      <c r="H108" s="357"/>
      <c r="I108" s="111"/>
      <c r="J108" s="113"/>
      <c r="K108" s="352"/>
      <c r="L108" s="352"/>
    </row>
    <row r="109" spans="1:20" x14ac:dyDescent="0.3">
      <c r="A109" s="337"/>
      <c r="B109" s="341" t="str">
        <f>CONCATENATE("July",", ", Form!$C$3)</f>
        <v>July, 2025</v>
      </c>
      <c r="C109" s="342"/>
      <c r="D109" s="343">
        <f>'Monthly Salary'!S9</f>
        <v>0</v>
      </c>
      <c r="E109" s="344"/>
      <c r="F109" s="111"/>
      <c r="G109" s="357"/>
      <c r="H109" s="357"/>
      <c r="I109" s="111"/>
      <c r="J109" s="113"/>
      <c r="K109" s="352"/>
      <c r="L109" s="352"/>
    </row>
    <row r="110" spans="1:20" x14ac:dyDescent="0.3">
      <c r="A110" s="337"/>
      <c r="B110" s="341" t="str">
        <f>CONCATENATE("August",", ", Form!$C$3)</f>
        <v>August, 2025</v>
      </c>
      <c r="C110" s="342"/>
      <c r="D110" s="343">
        <f>'Monthly Salary'!S10</f>
        <v>0</v>
      </c>
      <c r="E110" s="344"/>
      <c r="F110" s="111"/>
      <c r="G110" s="357"/>
      <c r="H110" s="357"/>
      <c r="I110" s="111"/>
      <c r="J110" s="114"/>
      <c r="K110" s="352"/>
      <c r="L110" s="353"/>
    </row>
    <row r="111" spans="1:20" x14ac:dyDescent="0.3">
      <c r="A111" s="133">
        <v>21</v>
      </c>
      <c r="B111" s="354" t="s">
        <v>266</v>
      </c>
      <c r="C111" s="355"/>
      <c r="D111" s="355"/>
      <c r="E111" s="355"/>
      <c r="F111" s="355"/>
      <c r="G111" s="355"/>
      <c r="H111" s="355"/>
      <c r="I111" s="355"/>
      <c r="J111" s="356"/>
      <c r="K111" s="353"/>
      <c r="L111" s="112">
        <f>L103-L104</f>
        <v>0</v>
      </c>
    </row>
    <row r="112" spans="1:20" ht="30" customHeight="1" x14ac:dyDescent="0.3">
      <c r="A112" s="338">
        <v>22</v>
      </c>
      <c r="B112" s="347" t="s">
        <v>237</v>
      </c>
      <c r="C112" s="347"/>
      <c r="D112" s="347"/>
      <c r="E112" s="347"/>
      <c r="F112" s="347"/>
      <c r="G112" s="347"/>
      <c r="H112" s="347"/>
      <c r="I112" s="347"/>
      <c r="J112" s="347"/>
      <c r="K112" s="347"/>
      <c r="L112" s="347"/>
    </row>
    <row r="113" spans="1:12" x14ac:dyDescent="0.3">
      <c r="A113" s="339"/>
      <c r="B113" s="341" t="str">
        <f>CONCATENATE("December",", ", Form!$C$3)</f>
        <v>December, 2025</v>
      </c>
      <c r="C113" s="342"/>
      <c r="D113" s="345"/>
      <c r="E113" s="346"/>
      <c r="F113" s="409"/>
      <c r="G113" s="410"/>
      <c r="H113" s="410"/>
      <c r="I113" s="410"/>
      <c r="J113" s="410"/>
      <c r="K113" s="410"/>
      <c r="L113" s="411"/>
    </row>
    <row r="114" spans="1:12" x14ac:dyDescent="0.3">
      <c r="A114" s="339"/>
      <c r="B114" s="341" t="str">
        <f>CONCATENATE("January",", ", Form!$E$3)</f>
        <v>January, 2026</v>
      </c>
      <c r="C114" s="342"/>
      <c r="D114" s="345"/>
      <c r="E114" s="346"/>
      <c r="F114" s="412"/>
      <c r="G114" s="413"/>
      <c r="H114" s="413"/>
      <c r="I114" s="413"/>
      <c r="J114" s="413"/>
      <c r="K114" s="413"/>
      <c r="L114" s="414"/>
    </row>
    <row r="115" spans="1:12" x14ac:dyDescent="0.3">
      <c r="A115" s="340"/>
      <c r="B115" s="341" t="str">
        <f>CONCATENATE("February",", ", Form!$E$3)</f>
        <v>February, 2026</v>
      </c>
      <c r="C115" s="342"/>
      <c r="D115" s="343">
        <f>L111-D113-D114</f>
        <v>0</v>
      </c>
      <c r="E115" s="344"/>
      <c r="F115" s="415"/>
      <c r="G115" s="416"/>
      <c r="H115" s="416"/>
      <c r="I115" s="416"/>
      <c r="J115" s="416"/>
      <c r="K115" s="416"/>
      <c r="L115" s="417"/>
    </row>
    <row r="116" spans="1:12" x14ac:dyDescent="0.3">
      <c r="A116" s="87"/>
      <c r="B116" s="87"/>
      <c r="C116" s="87"/>
      <c r="D116" s="87"/>
      <c r="E116" s="87"/>
      <c r="F116" s="87"/>
      <c r="G116" s="87"/>
      <c r="H116" s="87"/>
      <c r="I116" s="87"/>
      <c r="J116" s="87"/>
      <c r="K116" s="87"/>
      <c r="L116" s="87"/>
    </row>
    <row r="117" spans="1:12" x14ac:dyDescent="0.3">
      <c r="A117" s="87"/>
      <c r="B117" s="87"/>
      <c r="C117" s="87"/>
      <c r="D117" s="87"/>
      <c r="E117" s="87"/>
      <c r="F117" s="87"/>
      <c r="G117" s="87"/>
      <c r="H117" s="87"/>
      <c r="I117" s="87"/>
      <c r="J117" s="87"/>
      <c r="K117" s="87"/>
      <c r="L117" s="87"/>
    </row>
    <row r="118" spans="1:12" x14ac:dyDescent="0.3">
      <c r="A118" s="446" t="s">
        <v>500</v>
      </c>
      <c r="B118" s="446"/>
      <c r="C118" s="446"/>
      <c r="D118" s="446"/>
      <c r="E118" s="446"/>
      <c r="F118" s="446"/>
      <c r="G118" s="446"/>
      <c r="H118" s="446"/>
      <c r="I118" s="446"/>
      <c r="J118" s="446"/>
      <c r="K118" s="446"/>
      <c r="L118" s="446"/>
    </row>
    <row r="119" spans="1:12" ht="28.8" customHeight="1" x14ac:dyDescent="0.3">
      <c r="A119" s="447" t="s">
        <v>511</v>
      </c>
      <c r="B119" s="447"/>
      <c r="C119" s="447"/>
      <c r="D119" s="447"/>
      <c r="E119" s="447"/>
      <c r="F119" s="447"/>
      <c r="G119" s="447"/>
      <c r="H119" s="447"/>
      <c r="I119" s="447"/>
      <c r="J119" s="447"/>
      <c r="K119" s="447"/>
      <c r="L119" s="447"/>
    </row>
    <row r="120" spans="1:12" x14ac:dyDescent="0.3">
      <c r="A120" s="448" t="s">
        <v>512</v>
      </c>
      <c r="B120" s="448"/>
      <c r="C120" s="448"/>
      <c r="D120" s="448"/>
      <c r="E120" s="448"/>
      <c r="F120" s="448"/>
      <c r="G120" s="448"/>
      <c r="H120" s="448"/>
      <c r="I120" s="448"/>
      <c r="J120" s="448"/>
      <c r="K120" s="448"/>
      <c r="L120" s="448"/>
    </row>
    <row r="121" spans="1:12" x14ac:dyDescent="0.3">
      <c r="A121" s="448" t="s">
        <v>513</v>
      </c>
      <c r="B121" s="448"/>
      <c r="C121" s="448"/>
      <c r="D121" s="448"/>
      <c r="E121" s="448"/>
      <c r="F121" s="448"/>
      <c r="G121" s="448"/>
      <c r="H121" s="448"/>
      <c r="I121" s="448"/>
      <c r="J121" s="448"/>
      <c r="K121" s="448"/>
      <c r="L121" s="448"/>
    </row>
    <row r="122" spans="1:12" x14ac:dyDescent="0.3">
      <c r="A122" s="448" t="s">
        <v>501</v>
      </c>
      <c r="B122" s="448"/>
      <c r="C122" s="448"/>
      <c r="D122" s="448"/>
      <c r="E122" s="448"/>
      <c r="F122" s="448"/>
      <c r="G122" s="448"/>
      <c r="H122" s="448"/>
      <c r="I122" s="448"/>
      <c r="J122" s="448"/>
      <c r="K122" s="448"/>
      <c r="L122" s="448"/>
    </row>
    <row r="123" spans="1:12" x14ac:dyDescent="0.3">
      <c r="A123" s="87"/>
      <c r="B123" s="87"/>
      <c r="C123" s="87"/>
      <c r="D123" s="87"/>
      <c r="E123" s="87"/>
      <c r="F123" s="87"/>
      <c r="G123" s="87"/>
      <c r="H123" s="87"/>
      <c r="I123" s="87"/>
      <c r="J123" s="87"/>
      <c r="K123" s="87"/>
      <c r="L123" s="87"/>
    </row>
    <row r="124" spans="1:12" x14ac:dyDescent="0.3">
      <c r="A124" s="87"/>
      <c r="B124" s="87"/>
      <c r="C124" s="87"/>
      <c r="D124" s="87"/>
      <c r="E124" s="87"/>
      <c r="F124" s="87"/>
      <c r="G124" s="87"/>
      <c r="H124" s="87"/>
      <c r="I124" s="87"/>
      <c r="J124" s="87"/>
      <c r="K124" s="87"/>
      <c r="L124" s="87"/>
    </row>
    <row r="125" spans="1:12" x14ac:dyDescent="0.3">
      <c r="A125" s="87" t="s">
        <v>239</v>
      </c>
      <c r="B125" s="87"/>
      <c r="C125" s="87"/>
      <c r="D125" s="87"/>
      <c r="E125" s="87"/>
      <c r="F125" s="87"/>
      <c r="G125" s="87"/>
      <c r="H125" s="87"/>
      <c r="I125" s="87"/>
      <c r="J125" s="87"/>
      <c r="K125" s="87"/>
      <c r="L125" s="87"/>
    </row>
    <row r="126" spans="1:12" x14ac:dyDescent="0.3">
      <c r="A126" s="87" t="s">
        <v>502</v>
      </c>
      <c r="C126" s="87"/>
      <c r="D126" s="87"/>
      <c r="F126" s="87"/>
      <c r="G126" s="87"/>
      <c r="H126" s="87"/>
      <c r="I126" s="87"/>
      <c r="J126" s="87"/>
      <c r="K126" s="87" t="s">
        <v>516</v>
      </c>
      <c r="L126" s="87"/>
    </row>
    <row r="127" spans="1:12" x14ac:dyDescent="0.3">
      <c r="A127" s="87"/>
      <c r="B127" s="87"/>
      <c r="C127" s="87"/>
      <c r="D127" s="87"/>
      <c r="E127" s="87"/>
      <c r="F127" s="87"/>
      <c r="G127" s="87"/>
      <c r="H127" s="87"/>
      <c r="I127" s="87"/>
      <c r="J127" s="87"/>
      <c r="K127" s="87"/>
      <c r="L127" s="87"/>
    </row>
    <row r="128" spans="1:12" x14ac:dyDescent="0.3">
      <c r="A128" s="449" t="s">
        <v>503</v>
      </c>
      <c r="B128" s="449"/>
      <c r="C128" s="449"/>
      <c r="D128" s="449"/>
      <c r="E128" s="449"/>
      <c r="F128" s="449"/>
      <c r="G128" s="449"/>
      <c r="H128" s="449"/>
      <c r="I128" s="449"/>
      <c r="J128" s="449"/>
      <c r="K128" s="449"/>
      <c r="L128" s="449"/>
    </row>
    <row r="129" spans="1:12" ht="19.8" customHeight="1" x14ac:dyDescent="0.3">
      <c r="A129" s="444" t="s">
        <v>504</v>
      </c>
      <c r="B129" s="444"/>
      <c r="C129" s="444"/>
      <c r="D129" s="444"/>
      <c r="E129" s="444"/>
      <c r="F129" s="444"/>
      <c r="G129" s="444"/>
      <c r="H129" s="444"/>
      <c r="I129" s="444"/>
      <c r="J129" s="444"/>
      <c r="K129" s="444"/>
      <c r="L129" s="444"/>
    </row>
    <row r="130" spans="1:12" ht="28.2" customHeight="1" x14ac:dyDescent="0.3">
      <c r="A130" s="444" t="s">
        <v>505</v>
      </c>
      <c r="B130" s="444"/>
      <c r="C130" s="444"/>
      <c r="D130" s="444"/>
      <c r="E130" s="444"/>
      <c r="F130" s="444"/>
      <c r="G130" s="444"/>
      <c r="H130" s="444"/>
      <c r="I130" s="444"/>
      <c r="J130" s="444"/>
      <c r="K130" s="444"/>
      <c r="L130" s="444"/>
    </row>
    <row r="131" spans="1:12" ht="30" customHeight="1" x14ac:dyDescent="0.3">
      <c r="A131" s="444" t="s">
        <v>506</v>
      </c>
      <c r="B131" s="444"/>
      <c r="C131" s="444"/>
      <c r="D131" s="444"/>
      <c r="E131" s="444"/>
      <c r="F131" s="444"/>
      <c r="G131" s="444"/>
      <c r="H131" s="444"/>
      <c r="I131" s="444"/>
      <c r="J131" s="444"/>
      <c r="K131" s="444"/>
      <c r="L131" s="444"/>
    </row>
    <row r="132" spans="1:12" ht="27" customHeight="1" x14ac:dyDescent="0.3">
      <c r="A132" s="444" t="s">
        <v>507</v>
      </c>
      <c r="B132" s="444"/>
      <c r="C132" s="444"/>
      <c r="D132" s="444"/>
      <c r="E132" s="444"/>
      <c r="F132" s="444"/>
      <c r="G132" s="444"/>
      <c r="H132" s="444"/>
      <c r="I132" s="444"/>
      <c r="J132" s="444"/>
      <c r="K132" s="444"/>
      <c r="L132" s="444"/>
    </row>
    <row r="133" spans="1:12" x14ac:dyDescent="0.3">
      <c r="A133" s="444" t="s">
        <v>508</v>
      </c>
      <c r="B133" s="444"/>
      <c r="C133" s="444"/>
      <c r="D133" s="444"/>
      <c r="E133" s="444"/>
      <c r="F133" s="444"/>
      <c r="G133" s="444"/>
      <c r="H133" s="444"/>
      <c r="I133" s="444"/>
      <c r="J133" s="444"/>
      <c r="K133" s="444"/>
      <c r="L133" s="444"/>
    </row>
    <row r="134" spans="1:12" x14ac:dyDescent="0.3">
      <c r="A134" s="445" t="s">
        <v>509</v>
      </c>
      <c r="B134" s="445"/>
      <c r="C134" s="445"/>
      <c r="D134" s="445"/>
      <c r="E134" s="445"/>
      <c r="F134" s="445"/>
      <c r="G134" s="445"/>
      <c r="H134" s="445"/>
      <c r="I134" s="445"/>
      <c r="J134" s="445"/>
      <c r="K134" s="445"/>
      <c r="L134" s="445"/>
    </row>
    <row r="135" spans="1:12" x14ac:dyDescent="0.3">
      <c r="A135" s="445" t="s">
        <v>510</v>
      </c>
      <c r="B135" s="445"/>
      <c r="C135" s="445"/>
      <c r="D135" s="445"/>
      <c r="E135" s="445"/>
      <c r="F135" s="445"/>
      <c r="G135" s="445"/>
      <c r="H135" s="445"/>
      <c r="I135" s="445"/>
      <c r="J135" s="445"/>
      <c r="K135" s="445"/>
      <c r="L135" s="445"/>
    </row>
    <row r="136" spans="1:12" x14ac:dyDescent="0.3">
      <c r="A136" s="298"/>
      <c r="B136" s="298"/>
      <c r="C136" s="298"/>
      <c r="D136" s="298"/>
      <c r="E136" s="298"/>
      <c r="F136" s="298"/>
      <c r="G136" s="298"/>
      <c r="H136" s="298"/>
      <c r="I136" s="298"/>
      <c r="J136" s="298"/>
      <c r="K136" s="298"/>
      <c r="L136" s="298"/>
    </row>
    <row r="137" spans="1:12" x14ac:dyDescent="0.3">
      <c r="A137" s="298"/>
      <c r="B137" s="298"/>
      <c r="C137" s="298"/>
      <c r="D137" s="298"/>
      <c r="E137" s="298"/>
      <c r="F137" s="298"/>
      <c r="G137" s="298"/>
      <c r="H137" s="298"/>
      <c r="I137" s="298"/>
      <c r="J137" s="298"/>
      <c r="K137" s="298"/>
      <c r="L137" s="298"/>
    </row>
    <row r="138" spans="1:12" x14ac:dyDescent="0.3">
      <c r="A138" s="298"/>
      <c r="B138" s="298"/>
      <c r="C138" s="298"/>
      <c r="D138" s="298"/>
      <c r="E138" s="298"/>
      <c r="F138" s="298"/>
      <c r="G138" s="298"/>
      <c r="H138" s="298"/>
      <c r="I138" s="298"/>
      <c r="J138" s="298"/>
      <c r="K138" s="298"/>
      <c r="L138" s="298"/>
    </row>
    <row r="139" spans="1:12" x14ac:dyDescent="0.3">
      <c r="A139" s="298"/>
      <c r="B139" s="298"/>
      <c r="C139" s="298"/>
      <c r="D139" s="298"/>
      <c r="E139" s="298"/>
      <c r="F139" s="298"/>
      <c r="G139" s="298"/>
      <c r="H139" s="298"/>
      <c r="I139" s="298"/>
      <c r="J139" s="298"/>
      <c r="K139" s="299" t="s">
        <v>240</v>
      </c>
      <c r="L139" s="298"/>
    </row>
  </sheetData>
  <sheetProtection algorithmName="SHA-512" hashValue="lXsO8POdtszar17v8JcR2gqFl1+Ka5uTHtyjb5e+P1t+rwE2EOv6BiCDGOeXxmc5yRMPUXPtqHCO3WlYtHpRiA==" saltValue="QqtrKmEy9dSHoNOGt0JlDA==" spinCount="100000" sheet="1" selectLockedCells="1"/>
  <customSheetViews>
    <customSheetView guid="{FB1B2773-2708-4BC7-98F1-55C7E60B40D3}" showPageBreaks="1" printArea="1" topLeftCell="A58">
      <selection activeCell="I3" sqref="I3:J3"/>
      <pageMargins left="0.6692913385826772" right="0.35433070866141736" top="0.74803149606299213" bottom="0.74803149606299213" header="0.31496062992125984" footer="0.31496062992125984"/>
      <pageSetup orientation="portrait" horizontalDpi="0" verticalDpi="0" r:id="rId1"/>
    </customSheetView>
  </customSheetViews>
  <mergeCells count="191">
    <mergeCell ref="B48:L48"/>
    <mergeCell ref="C41:J41"/>
    <mergeCell ref="A42:J42"/>
    <mergeCell ref="A43:J43"/>
    <mergeCell ref="B44:J44"/>
    <mergeCell ref="A132:L132"/>
    <mergeCell ref="A133:L133"/>
    <mergeCell ref="A134:L134"/>
    <mergeCell ref="A135:L135"/>
    <mergeCell ref="A118:L118"/>
    <mergeCell ref="A119:L119"/>
    <mergeCell ref="A120:L120"/>
    <mergeCell ref="A121:L121"/>
    <mergeCell ref="A122:L122"/>
    <mergeCell ref="A128:L128"/>
    <mergeCell ref="A129:L129"/>
    <mergeCell ref="A130:L130"/>
    <mergeCell ref="A131:L131"/>
    <mergeCell ref="F113:L115"/>
    <mergeCell ref="L39:L41"/>
    <mergeCell ref="K36:K37"/>
    <mergeCell ref="L33:L35"/>
    <mergeCell ref="K23:K25"/>
    <mergeCell ref="A4:C4"/>
    <mergeCell ref="D4:G4"/>
    <mergeCell ref="C18:J18"/>
    <mergeCell ref="A7:C7"/>
    <mergeCell ref="C15:J15"/>
    <mergeCell ref="A11:A15"/>
    <mergeCell ref="A16:J16"/>
    <mergeCell ref="C19:J19"/>
    <mergeCell ref="B17:L17"/>
    <mergeCell ref="A5:E5"/>
    <mergeCell ref="C11:J11"/>
    <mergeCell ref="I6:K6"/>
    <mergeCell ref="I7:K7"/>
    <mergeCell ref="C12:J12"/>
    <mergeCell ref="C13:J13"/>
    <mergeCell ref="A10:J10"/>
    <mergeCell ref="A17:A30"/>
    <mergeCell ref="C14:J14"/>
    <mergeCell ref="C29:J29"/>
    <mergeCell ref="D3:G3"/>
    <mergeCell ref="C35:J35"/>
    <mergeCell ref="C33:J33"/>
    <mergeCell ref="A1:L1"/>
    <mergeCell ref="A2:L2"/>
    <mergeCell ref="L11:L13"/>
    <mergeCell ref="K5:L5"/>
    <mergeCell ref="I5:J5"/>
    <mergeCell ref="I4:J4"/>
    <mergeCell ref="I3:J3"/>
    <mergeCell ref="K3:L3"/>
    <mergeCell ref="K4:L4"/>
    <mergeCell ref="J9:L9"/>
    <mergeCell ref="B32:L32"/>
    <mergeCell ref="C22:K22"/>
    <mergeCell ref="D9:G9"/>
    <mergeCell ref="C34:J34"/>
    <mergeCell ref="A9:C9"/>
    <mergeCell ref="C20:J20"/>
    <mergeCell ref="C21:J21"/>
    <mergeCell ref="C28:J28"/>
    <mergeCell ref="D23:I23"/>
    <mergeCell ref="D24:I24"/>
    <mergeCell ref="D25:I25"/>
    <mergeCell ref="A48:A60"/>
    <mergeCell ref="B37:J37"/>
    <mergeCell ref="B38:L38"/>
    <mergeCell ref="C39:J39"/>
    <mergeCell ref="C40:J40"/>
    <mergeCell ref="A6:G6"/>
    <mergeCell ref="B61:J61"/>
    <mergeCell ref="B62:J62"/>
    <mergeCell ref="B63:J63"/>
    <mergeCell ref="B46:J46"/>
    <mergeCell ref="A8:C8"/>
    <mergeCell ref="D7:G7"/>
    <mergeCell ref="D8:G8"/>
    <mergeCell ref="K30:K31"/>
    <mergeCell ref="L18:L29"/>
    <mergeCell ref="K50:K51"/>
    <mergeCell ref="B45:J45"/>
    <mergeCell ref="C30:J30"/>
    <mergeCell ref="C26:J26"/>
    <mergeCell ref="C27:J27"/>
    <mergeCell ref="B31:J31"/>
    <mergeCell ref="B36:J36"/>
    <mergeCell ref="C50:J50"/>
    <mergeCell ref="B47:L47"/>
    <mergeCell ref="B64:J64"/>
    <mergeCell ref="B66:J66"/>
    <mergeCell ref="L49:L62"/>
    <mergeCell ref="C59:J59"/>
    <mergeCell ref="B60:J60"/>
    <mergeCell ref="C51:J51"/>
    <mergeCell ref="C52:J52"/>
    <mergeCell ref="C58:J58"/>
    <mergeCell ref="C53:J53"/>
    <mergeCell ref="C54:J54"/>
    <mergeCell ref="C55:J55"/>
    <mergeCell ref="C56:J56"/>
    <mergeCell ref="C57:J57"/>
    <mergeCell ref="C49:J49"/>
    <mergeCell ref="B67:J67"/>
    <mergeCell ref="B68:J68"/>
    <mergeCell ref="B69:J69"/>
    <mergeCell ref="B70:L70"/>
    <mergeCell ref="C71:J71"/>
    <mergeCell ref="C72:J72"/>
    <mergeCell ref="C73:J73"/>
    <mergeCell ref="C74:J74"/>
    <mergeCell ref="C75:J75"/>
    <mergeCell ref="B76:J76"/>
    <mergeCell ref="B77:J77"/>
    <mergeCell ref="K76:K78"/>
    <mergeCell ref="C80:C81"/>
    <mergeCell ref="B78:J78"/>
    <mergeCell ref="C79:J79"/>
    <mergeCell ref="D80:H80"/>
    <mergeCell ref="D81:E81"/>
    <mergeCell ref="B80:B86"/>
    <mergeCell ref="D84:E84"/>
    <mergeCell ref="D85:E85"/>
    <mergeCell ref="D86:E86"/>
    <mergeCell ref="G81:H81"/>
    <mergeCell ref="G82:H82"/>
    <mergeCell ref="G84:H84"/>
    <mergeCell ref="D82:E82"/>
    <mergeCell ref="G85:H85"/>
    <mergeCell ref="G86:H86"/>
    <mergeCell ref="D83:E83"/>
    <mergeCell ref="G83:H83"/>
    <mergeCell ref="I80:L86"/>
    <mergeCell ref="G92:H92"/>
    <mergeCell ref="D93:E93"/>
    <mergeCell ref="G93:H93"/>
    <mergeCell ref="D94:E94"/>
    <mergeCell ref="G94:H94"/>
    <mergeCell ref="D96:E96"/>
    <mergeCell ref="G96:H96"/>
    <mergeCell ref="B97:J97"/>
    <mergeCell ref="C87:J87"/>
    <mergeCell ref="C88:C89"/>
    <mergeCell ref="D88:H88"/>
    <mergeCell ref="D89:E89"/>
    <mergeCell ref="G89:H89"/>
    <mergeCell ref="D90:E90"/>
    <mergeCell ref="G90:H90"/>
    <mergeCell ref="D91:E91"/>
    <mergeCell ref="G91:H91"/>
    <mergeCell ref="B88:B96"/>
    <mergeCell ref="I88:L96"/>
    <mergeCell ref="D92:E92"/>
    <mergeCell ref="D95:E95"/>
    <mergeCell ref="G95:H95"/>
    <mergeCell ref="B110:C110"/>
    <mergeCell ref="L105:L110"/>
    <mergeCell ref="B111:J111"/>
    <mergeCell ref="K97:K111"/>
    <mergeCell ref="G105:H105"/>
    <mergeCell ref="G106:H106"/>
    <mergeCell ref="G107:H107"/>
    <mergeCell ref="G108:H108"/>
    <mergeCell ref="G109:H109"/>
    <mergeCell ref="G110:H110"/>
    <mergeCell ref="B98:J98"/>
    <mergeCell ref="N105:T107"/>
    <mergeCell ref="A79:A86"/>
    <mergeCell ref="A87:A96"/>
    <mergeCell ref="A112:A115"/>
    <mergeCell ref="B113:C113"/>
    <mergeCell ref="B114:C114"/>
    <mergeCell ref="B115:C115"/>
    <mergeCell ref="D105:E105"/>
    <mergeCell ref="D106:E106"/>
    <mergeCell ref="D107:E107"/>
    <mergeCell ref="D108:E108"/>
    <mergeCell ref="D109:E109"/>
    <mergeCell ref="D110:E110"/>
    <mergeCell ref="D113:E113"/>
    <mergeCell ref="D114:E114"/>
    <mergeCell ref="D115:E115"/>
    <mergeCell ref="B112:L112"/>
    <mergeCell ref="A104:A110"/>
    <mergeCell ref="B104:J104"/>
    <mergeCell ref="B105:C105"/>
    <mergeCell ref="B106:C106"/>
    <mergeCell ref="B107:C107"/>
    <mergeCell ref="B108:C108"/>
    <mergeCell ref="B109:C109"/>
  </mergeCells>
  <conditionalFormatting sqref="L98">
    <cfRule type="expression" dxfId="0" priority="1">
      <formula>$L$98="Error"</formula>
    </cfRule>
  </conditionalFormatting>
  <dataValidations count="1">
    <dataValidation allowBlank="1" sqref="K10" xr:uid="{A9796FEC-81DA-C44A-9DE1-F00F0DBEDE37}"/>
  </dataValidations>
  <printOptions horizontalCentered="1"/>
  <pageMargins left="0.55118110236220474" right="0.35433070866141736" top="0.31496062992125984" bottom="0.51181102362204722" header="0.31496062992125984" footer="0.31496062992125984"/>
  <pageSetup scale="79" fitToHeight="3" orientation="portrait" blackAndWhite="1" r:id="rId2"/>
  <headerFooter>
    <oddFooter>&amp;CPage &amp;P of &amp;N</oddFooter>
  </headerFooter>
  <rowBreaks count="2" manualBreakCount="2">
    <brk id="46" max="11" man="1"/>
    <brk id="86" max="11" man="1"/>
  </row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ACB1-CE81-46E5-A7FF-C52062AA50D8}">
  <sheetPr codeName="Sheet21"/>
  <dimension ref="B1:U67"/>
  <sheetViews>
    <sheetView showGridLines="0" showZeros="0" zoomScale="74" zoomScaleNormal="80" workbookViewId="0">
      <selection activeCell="G14" sqref="G14"/>
    </sheetView>
  </sheetViews>
  <sheetFormatPr defaultRowHeight="15.75" customHeight="1" zeroHeight="1" x14ac:dyDescent="0.3"/>
  <cols>
    <col min="1" max="1" width="9.109375" style="151"/>
    <col min="2" max="2" width="5.109375" style="151" customWidth="1"/>
    <col min="3" max="4" width="5.109375" style="190" customWidth="1"/>
    <col min="5" max="5" width="21.6640625" style="191" customWidth="1"/>
    <col min="6" max="6" width="14.33203125" style="191" customWidth="1"/>
    <col min="7" max="7" width="15.5546875" style="191" customWidth="1"/>
    <col min="8" max="8" width="13.44140625" style="191" customWidth="1"/>
    <col min="9" max="10" width="12.44140625" style="191" customWidth="1"/>
    <col min="11" max="15" width="12.44140625" style="192" customWidth="1"/>
    <col min="16" max="21" width="13.44140625" style="151" customWidth="1"/>
    <col min="22" max="257" width="9.109375" style="151"/>
    <col min="258" max="260" width="5.109375" style="151" customWidth="1"/>
    <col min="261" max="261" width="21.6640625" style="151" customWidth="1"/>
    <col min="262" max="262" width="14.33203125" style="151" customWidth="1"/>
    <col min="263" max="263" width="15.5546875" style="151" customWidth="1"/>
    <col min="264" max="264" width="13.44140625" style="151" customWidth="1"/>
    <col min="265" max="271" width="12.44140625" style="151" customWidth="1"/>
    <col min="272" max="277" width="13.44140625" style="151" customWidth="1"/>
    <col min="278" max="513" width="9.109375" style="151"/>
    <col min="514" max="516" width="5.109375" style="151" customWidth="1"/>
    <col min="517" max="517" width="21.6640625" style="151" customWidth="1"/>
    <col min="518" max="518" width="14.33203125" style="151" customWidth="1"/>
    <col min="519" max="519" width="15.5546875" style="151" customWidth="1"/>
    <col min="520" max="520" width="13.44140625" style="151" customWidth="1"/>
    <col min="521" max="527" width="12.44140625" style="151" customWidth="1"/>
    <col min="528" max="533" width="13.44140625" style="151" customWidth="1"/>
    <col min="534" max="769" width="9.109375" style="151"/>
    <col min="770" max="772" width="5.109375" style="151" customWidth="1"/>
    <col min="773" max="773" width="21.6640625" style="151" customWidth="1"/>
    <col min="774" max="774" width="14.33203125" style="151" customWidth="1"/>
    <col min="775" max="775" width="15.5546875" style="151" customWidth="1"/>
    <col min="776" max="776" width="13.44140625" style="151" customWidth="1"/>
    <col min="777" max="783" width="12.44140625" style="151" customWidth="1"/>
    <col min="784" max="789" width="13.44140625" style="151" customWidth="1"/>
    <col min="790" max="1025" width="9.109375" style="151"/>
    <col min="1026" max="1028" width="5.109375" style="151" customWidth="1"/>
    <col min="1029" max="1029" width="21.6640625" style="151" customWidth="1"/>
    <col min="1030" max="1030" width="14.33203125" style="151" customWidth="1"/>
    <col min="1031" max="1031" width="15.5546875" style="151" customWidth="1"/>
    <col min="1032" max="1032" width="13.44140625" style="151" customWidth="1"/>
    <col min="1033" max="1039" width="12.44140625" style="151" customWidth="1"/>
    <col min="1040" max="1045" width="13.44140625" style="151" customWidth="1"/>
    <col min="1046" max="1281" width="9.109375" style="151"/>
    <col min="1282" max="1284" width="5.109375" style="151" customWidth="1"/>
    <col min="1285" max="1285" width="21.6640625" style="151" customWidth="1"/>
    <col min="1286" max="1286" width="14.33203125" style="151" customWidth="1"/>
    <col min="1287" max="1287" width="15.5546875" style="151" customWidth="1"/>
    <col min="1288" max="1288" width="13.44140625" style="151" customWidth="1"/>
    <col min="1289" max="1295" width="12.44140625" style="151" customWidth="1"/>
    <col min="1296" max="1301" width="13.44140625" style="151" customWidth="1"/>
    <col min="1302" max="1537" width="9.109375" style="151"/>
    <col min="1538" max="1540" width="5.109375" style="151" customWidth="1"/>
    <col min="1541" max="1541" width="21.6640625" style="151" customWidth="1"/>
    <col min="1542" max="1542" width="14.33203125" style="151" customWidth="1"/>
    <col min="1543" max="1543" width="15.5546875" style="151" customWidth="1"/>
    <col min="1544" max="1544" width="13.44140625" style="151" customWidth="1"/>
    <col min="1545" max="1551" width="12.44140625" style="151" customWidth="1"/>
    <col min="1552" max="1557" width="13.44140625" style="151" customWidth="1"/>
    <col min="1558" max="1793" width="9.109375" style="151"/>
    <col min="1794" max="1796" width="5.109375" style="151" customWidth="1"/>
    <col min="1797" max="1797" width="21.6640625" style="151" customWidth="1"/>
    <col min="1798" max="1798" width="14.33203125" style="151" customWidth="1"/>
    <col min="1799" max="1799" width="15.5546875" style="151" customWidth="1"/>
    <col min="1800" max="1800" width="13.44140625" style="151" customWidth="1"/>
    <col min="1801" max="1807" width="12.44140625" style="151" customWidth="1"/>
    <col min="1808" max="1813" width="13.44140625" style="151" customWidth="1"/>
    <col min="1814" max="2049" width="9.109375" style="151"/>
    <col min="2050" max="2052" width="5.109375" style="151" customWidth="1"/>
    <col min="2053" max="2053" width="21.6640625" style="151" customWidth="1"/>
    <col min="2054" max="2054" width="14.33203125" style="151" customWidth="1"/>
    <col min="2055" max="2055" width="15.5546875" style="151" customWidth="1"/>
    <col min="2056" max="2056" width="13.44140625" style="151" customWidth="1"/>
    <col min="2057" max="2063" width="12.44140625" style="151" customWidth="1"/>
    <col min="2064" max="2069" width="13.44140625" style="151" customWidth="1"/>
    <col min="2070" max="2305" width="9.109375" style="151"/>
    <col min="2306" max="2308" width="5.109375" style="151" customWidth="1"/>
    <col min="2309" max="2309" width="21.6640625" style="151" customWidth="1"/>
    <col min="2310" max="2310" width="14.33203125" style="151" customWidth="1"/>
    <col min="2311" max="2311" width="15.5546875" style="151" customWidth="1"/>
    <col min="2312" max="2312" width="13.44140625" style="151" customWidth="1"/>
    <col min="2313" max="2319" width="12.44140625" style="151" customWidth="1"/>
    <col min="2320" max="2325" width="13.44140625" style="151" customWidth="1"/>
    <col min="2326" max="2561" width="9.109375" style="151"/>
    <col min="2562" max="2564" width="5.109375" style="151" customWidth="1"/>
    <col min="2565" max="2565" width="21.6640625" style="151" customWidth="1"/>
    <col min="2566" max="2566" width="14.33203125" style="151" customWidth="1"/>
    <col min="2567" max="2567" width="15.5546875" style="151" customWidth="1"/>
    <col min="2568" max="2568" width="13.44140625" style="151" customWidth="1"/>
    <col min="2569" max="2575" width="12.44140625" style="151" customWidth="1"/>
    <col min="2576" max="2581" width="13.44140625" style="151" customWidth="1"/>
    <col min="2582" max="2817" width="9.109375" style="151"/>
    <col min="2818" max="2820" width="5.109375" style="151" customWidth="1"/>
    <col min="2821" max="2821" width="21.6640625" style="151" customWidth="1"/>
    <col min="2822" max="2822" width="14.33203125" style="151" customWidth="1"/>
    <col min="2823" max="2823" width="15.5546875" style="151" customWidth="1"/>
    <col min="2824" max="2824" width="13.44140625" style="151" customWidth="1"/>
    <col min="2825" max="2831" width="12.44140625" style="151" customWidth="1"/>
    <col min="2832" max="2837" width="13.44140625" style="151" customWidth="1"/>
    <col min="2838" max="3073" width="9.109375" style="151"/>
    <col min="3074" max="3076" width="5.109375" style="151" customWidth="1"/>
    <col min="3077" max="3077" width="21.6640625" style="151" customWidth="1"/>
    <col min="3078" max="3078" width="14.33203125" style="151" customWidth="1"/>
    <col min="3079" max="3079" width="15.5546875" style="151" customWidth="1"/>
    <col min="3080" max="3080" width="13.44140625" style="151" customWidth="1"/>
    <col min="3081" max="3087" width="12.44140625" style="151" customWidth="1"/>
    <col min="3088" max="3093" width="13.44140625" style="151" customWidth="1"/>
    <col min="3094" max="3329" width="9.109375" style="151"/>
    <col min="3330" max="3332" width="5.109375" style="151" customWidth="1"/>
    <col min="3333" max="3333" width="21.6640625" style="151" customWidth="1"/>
    <col min="3334" max="3334" width="14.33203125" style="151" customWidth="1"/>
    <col min="3335" max="3335" width="15.5546875" style="151" customWidth="1"/>
    <col min="3336" max="3336" width="13.44140625" style="151" customWidth="1"/>
    <col min="3337" max="3343" width="12.44140625" style="151" customWidth="1"/>
    <col min="3344" max="3349" width="13.44140625" style="151" customWidth="1"/>
    <col min="3350" max="3585" width="9.109375" style="151"/>
    <col min="3586" max="3588" width="5.109375" style="151" customWidth="1"/>
    <col min="3589" max="3589" width="21.6640625" style="151" customWidth="1"/>
    <col min="3590" max="3590" width="14.33203125" style="151" customWidth="1"/>
    <col min="3591" max="3591" width="15.5546875" style="151" customWidth="1"/>
    <col min="3592" max="3592" width="13.44140625" style="151" customWidth="1"/>
    <col min="3593" max="3599" width="12.44140625" style="151" customWidth="1"/>
    <col min="3600" max="3605" width="13.44140625" style="151" customWidth="1"/>
    <col min="3606" max="3841" width="9.109375" style="151"/>
    <col min="3842" max="3844" width="5.109375" style="151" customWidth="1"/>
    <col min="3845" max="3845" width="21.6640625" style="151" customWidth="1"/>
    <col min="3846" max="3846" width="14.33203125" style="151" customWidth="1"/>
    <col min="3847" max="3847" width="15.5546875" style="151" customWidth="1"/>
    <col min="3848" max="3848" width="13.44140625" style="151" customWidth="1"/>
    <col min="3849" max="3855" width="12.44140625" style="151" customWidth="1"/>
    <col min="3856" max="3861" width="13.44140625" style="151" customWidth="1"/>
    <col min="3862" max="4097" width="9.109375" style="151"/>
    <col min="4098" max="4100" width="5.109375" style="151" customWidth="1"/>
    <col min="4101" max="4101" width="21.6640625" style="151" customWidth="1"/>
    <col min="4102" max="4102" width="14.33203125" style="151" customWidth="1"/>
    <col min="4103" max="4103" width="15.5546875" style="151" customWidth="1"/>
    <col min="4104" max="4104" width="13.44140625" style="151" customWidth="1"/>
    <col min="4105" max="4111" width="12.44140625" style="151" customWidth="1"/>
    <col min="4112" max="4117" width="13.44140625" style="151" customWidth="1"/>
    <col min="4118" max="4353" width="9.109375" style="151"/>
    <col min="4354" max="4356" width="5.109375" style="151" customWidth="1"/>
    <col min="4357" max="4357" width="21.6640625" style="151" customWidth="1"/>
    <col min="4358" max="4358" width="14.33203125" style="151" customWidth="1"/>
    <col min="4359" max="4359" width="15.5546875" style="151" customWidth="1"/>
    <col min="4360" max="4360" width="13.44140625" style="151" customWidth="1"/>
    <col min="4361" max="4367" width="12.44140625" style="151" customWidth="1"/>
    <col min="4368" max="4373" width="13.44140625" style="151" customWidth="1"/>
    <col min="4374" max="4609" width="9.109375" style="151"/>
    <col min="4610" max="4612" width="5.109375" style="151" customWidth="1"/>
    <col min="4613" max="4613" width="21.6640625" style="151" customWidth="1"/>
    <col min="4614" max="4614" width="14.33203125" style="151" customWidth="1"/>
    <col min="4615" max="4615" width="15.5546875" style="151" customWidth="1"/>
    <col min="4616" max="4616" width="13.44140625" style="151" customWidth="1"/>
    <col min="4617" max="4623" width="12.44140625" style="151" customWidth="1"/>
    <col min="4624" max="4629" width="13.44140625" style="151" customWidth="1"/>
    <col min="4630" max="4865" width="9.109375" style="151"/>
    <col min="4866" max="4868" width="5.109375" style="151" customWidth="1"/>
    <col min="4869" max="4869" width="21.6640625" style="151" customWidth="1"/>
    <col min="4870" max="4870" width="14.33203125" style="151" customWidth="1"/>
    <col min="4871" max="4871" width="15.5546875" style="151" customWidth="1"/>
    <col min="4872" max="4872" width="13.44140625" style="151" customWidth="1"/>
    <col min="4873" max="4879" width="12.44140625" style="151" customWidth="1"/>
    <col min="4880" max="4885" width="13.44140625" style="151" customWidth="1"/>
    <col min="4886" max="5121" width="9.109375" style="151"/>
    <col min="5122" max="5124" width="5.109375" style="151" customWidth="1"/>
    <col min="5125" max="5125" width="21.6640625" style="151" customWidth="1"/>
    <col min="5126" max="5126" width="14.33203125" style="151" customWidth="1"/>
    <col min="5127" max="5127" width="15.5546875" style="151" customWidth="1"/>
    <col min="5128" max="5128" width="13.44140625" style="151" customWidth="1"/>
    <col min="5129" max="5135" width="12.44140625" style="151" customWidth="1"/>
    <col min="5136" max="5141" width="13.44140625" style="151" customWidth="1"/>
    <col min="5142" max="5377" width="9.109375" style="151"/>
    <col min="5378" max="5380" width="5.109375" style="151" customWidth="1"/>
    <col min="5381" max="5381" width="21.6640625" style="151" customWidth="1"/>
    <col min="5382" max="5382" width="14.33203125" style="151" customWidth="1"/>
    <col min="5383" max="5383" width="15.5546875" style="151" customWidth="1"/>
    <col min="5384" max="5384" width="13.44140625" style="151" customWidth="1"/>
    <col min="5385" max="5391" width="12.44140625" style="151" customWidth="1"/>
    <col min="5392" max="5397" width="13.44140625" style="151" customWidth="1"/>
    <col min="5398" max="5633" width="9.109375" style="151"/>
    <col min="5634" max="5636" width="5.109375" style="151" customWidth="1"/>
    <col min="5637" max="5637" width="21.6640625" style="151" customWidth="1"/>
    <col min="5638" max="5638" width="14.33203125" style="151" customWidth="1"/>
    <col min="5639" max="5639" width="15.5546875" style="151" customWidth="1"/>
    <col min="5640" max="5640" width="13.44140625" style="151" customWidth="1"/>
    <col min="5641" max="5647" width="12.44140625" style="151" customWidth="1"/>
    <col min="5648" max="5653" width="13.44140625" style="151" customWidth="1"/>
    <col min="5654" max="5889" width="9.109375" style="151"/>
    <col min="5890" max="5892" width="5.109375" style="151" customWidth="1"/>
    <col min="5893" max="5893" width="21.6640625" style="151" customWidth="1"/>
    <col min="5894" max="5894" width="14.33203125" style="151" customWidth="1"/>
    <col min="5895" max="5895" width="15.5546875" style="151" customWidth="1"/>
    <col min="5896" max="5896" width="13.44140625" style="151" customWidth="1"/>
    <col min="5897" max="5903" width="12.44140625" style="151" customWidth="1"/>
    <col min="5904" max="5909" width="13.44140625" style="151" customWidth="1"/>
    <col min="5910" max="6145" width="9.109375" style="151"/>
    <col min="6146" max="6148" width="5.109375" style="151" customWidth="1"/>
    <col min="6149" max="6149" width="21.6640625" style="151" customWidth="1"/>
    <col min="6150" max="6150" width="14.33203125" style="151" customWidth="1"/>
    <col min="6151" max="6151" width="15.5546875" style="151" customWidth="1"/>
    <col min="6152" max="6152" width="13.44140625" style="151" customWidth="1"/>
    <col min="6153" max="6159" width="12.44140625" style="151" customWidth="1"/>
    <col min="6160" max="6165" width="13.44140625" style="151" customWidth="1"/>
    <col min="6166" max="6401" width="9.109375" style="151"/>
    <col min="6402" max="6404" width="5.109375" style="151" customWidth="1"/>
    <col min="6405" max="6405" width="21.6640625" style="151" customWidth="1"/>
    <col min="6406" max="6406" width="14.33203125" style="151" customWidth="1"/>
    <col min="6407" max="6407" width="15.5546875" style="151" customWidth="1"/>
    <col min="6408" max="6408" width="13.44140625" style="151" customWidth="1"/>
    <col min="6409" max="6415" width="12.44140625" style="151" customWidth="1"/>
    <col min="6416" max="6421" width="13.44140625" style="151" customWidth="1"/>
    <col min="6422" max="6657" width="9.109375" style="151"/>
    <col min="6658" max="6660" width="5.109375" style="151" customWidth="1"/>
    <col min="6661" max="6661" width="21.6640625" style="151" customWidth="1"/>
    <col min="6662" max="6662" width="14.33203125" style="151" customWidth="1"/>
    <col min="6663" max="6663" width="15.5546875" style="151" customWidth="1"/>
    <col min="6664" max="6664" width="13.44140625" style="151" customWidth="1"/>
    <col min="6665" max="6671" width="12.44140625" style="151" customWidth="1"/>
    <col min="6672" max="6677" width="13.44140625" style="151" customWidth="1"/>
    <col min="6678" max="6913" width="9.109375" style="151"/>
    <col min="6914" max="6916" width="5.109375" style="151" customWidth="1"/>
    <col min="6917" max="6917" width="21.6640625" style="151" customWidth="1"/>
    <col min="6918" max="6918" width="14.33203125" style="151" customWidth="1"/>
    <col min="6919" max="6919" width="15.5546875" style="151" customWidth="1"/>
    <col min="6920" max="6920" width="13.44140625" style="151" customWidth="1"/>
    <col min="6921" max="6927" width="12.44140625" style="151" customWidth="1"/>
    <col min="6928" max="6933" width="13.44140625" style="151" customWidth="1"/>
    <col min="6934" max="7169" width="9.109375" style="151"/>
    <col min="7170" max="7172" width="5.109375" style="151" customWidth="1"/>
    <col min="7173" max="7173" width="21.6640625" style="151" customWidth="1"/>
    <col min="7174" max="7174" width="14.33203125" style="151" customWidth="1"/>
    <col min="7175" max="7175" width="15.5546875" style="151" customWidth="1"/>
    <col min="7176" max="7176" width="13.44140625" style="151" customWidth="1"/>
    <col min="7177" max="7183" width="12.44140625" style="151" customWidth="1"/>
    <col min="7184" max="7189" width="13.44140625" style="151" customWidth="1"/>
    <col min="7190" max="7425" width="9.109375" style="151"/>
    <col min="7426" max="7428" width="5.109375" style="151" customWidth="1"/>
    <col min="7429" max="7429" width="21.6640625" style="151" customWidth="1"/>
    <col min="7430" max="7430" width="14.33203125" style="151" customWidth="1"/>
    <col min="7431" max="7431" width="15.5546875" style="151" customWidth="1"/>
    <col min="7432" max="7432" width="13.44140625" style="151" customWidth="1"/>
    <col min="7433" max="7439" width="12.44140625" style="151" customWidth="1"/>
    <col min="7440" max="7445" width="13.44140625" style="151" customWidth="1"/>
    <col min="7446" max="7681" width="9.109375" style="151"/>
    <col min="7682" max="7684" width="5.109375" style="151" customWidth="1"/>
    <col min="7685" max="7685" width="21.6640625" style="151" customWidth="1"/>
    <col min="7686" max="7686" width="14.33203125" style="151" customWidth="1"/>
    <col min="7687" max="7687" width="15.5546875" style="151" customWidth="1"/>
    <col min="7688" max="7688" width="13.44140625" style="151" customWidth="1"/>
    <col min="7689" max="7695" width="12.44140625" style="151" customWidth="1"/>
    <col min="7696" max="7701" width="13.44140625" style="151" customWidth="1"/>
    <col min="7702" max="7937" width="9.109375" style="151"/>
    <col min="7938" max="7940" width="5.109375" style="151" customWidth="1"/>
    <col min="7941" max="7941" width="21.6640625" style="151" customWidth="1"/>
    <col min="7942" max="7942" width="14.33203125" style="151" customWidth="1"/>
    <col min="7943" max="7943" width="15.5546875" style="151" customWidth="1"/>
    <col min="7944" max="7944" width="13.44140625" style="151" customWidth="1"/>
    <col min="7945" max="7951" width="12.44140625" style="151" customWidth="1"/>
    <col min="7952" max="7957" width="13.44140625" style="151" customWidth="1"/>
    <col min="7958" max="8193" width="9.109375" style="151"/>
    <col min="8194" max="8196" width="5.109375" style="151" customWidth="1"/>
    <col min="8197" max="8197" width="21.6640625" style="151" customWidth="1"/>
    <col min="8198" max="8198" width="14.33203125" style="151" customWidth="1"/>
    <col min="8199" max="8199" width="15.5546875" style="151" customWidth="1"/>
    <col min="8200" max="8200" width="13.44140625" style="151" customWidth="1"/>
    <col min="8201" max="8207" width="12.44140625" style="151" customWidth="1"/>
    <col min="8208" max="8213" width="13.44140625" style="151" customWidth="1"/>
    <col min="8214" max="8449" width="9.109375" style="151"/>
    <col min="8450" max="8452" width="5.109375" style="151" customWidth="1"/>
    <col min="8453" max="8453" width="21.6640625" style="151" customWidth="1"/>
    <col min="8454" max="8454" width="14.33203125" style="151" customWidth="1"/>
    <col min="8455" max="8455" width="15.5546875" style="151" customWidth="1"/>
    <col min="8456" max="8456" width="13.44140625" style="151" customWidth="1"/>
    <col min="8457" max="8463" width="12.44140625" style="151" customWidth="1"/>
    <col min="8464" max="8469" width="13.44140625" style="151" customWidth="1"/>
    <col min="8470" max="8705" width="9.109375" style="151"/>
    <col min="8706" max="8708" width="5.109375" style="151" customWidth="1"/>
    <col min="8709" max="8709" width="21.6640625" style="151" customWidth="1"/>
    <col min="8710" max="8710" width="14.33203125" style="151" customWidth="1"/>
    <col min="8711" max="8711" width="15.5546875" style="151" customWidth="1"/>
    <col min="8712" max="8712" width="13.44140625" style="151" customWidth="1"/>
    <col min="8713" max="8719" width="12.44140625" style="151" customWidth="1"/>
    <col min="8720" max="8725" width="13.44140625" style="151" customWidth="1"/>
    <col min="8726" max="8961" width="9.109375" style="151"/>
    <col min="8962" max="8964" width="5.109375" style="151" customWidth="1"/>
    <col min="8965" max="8965" width="21.6640625" style="151" customWidth="1"/>
    <col min="8966" max="8966" width="14.33203125" style="151" customWidth="1"/>
    <col min="8967" max="8967" width="15.5546875" style="151" customWidth="1"/>
    <col min="8968" max="8968" width="13.44140625" style="151" customWidth="1"/>
    <col min="8969" max="8975" width="12.44140625" style="151" customWidth="1"/>
    <col min="8976" max="8981" width="13.44140625" style="151" customWidth="1"/>
    <col min="8982" max="9217" width="9.109375" style="151"/>
    <col min="9218" max="9220" width="5.109375" style="151" customWidth="1"/>
    <col min="9221" max="9221" width="21.6640625" style="151" customWidth="1"/>
    <col min="9222" max="9222" width="14.33203125" style="151" customWidth="1"/>
    <col min="9223" max="9223" width="15.5546875" style="151" customWidth="1"/>
    <col min="9224" max="9224" width="13.44140625" style="151" customWidth="1"/>
    <col min="9225" max="9231" width="12.44140625" style="151" customWidth="1"/>
    <col min="9232" max="9237" width="13.44140625" style="151" customWidth="1"/>
    <col min="9238" max="9473" width="9.109375" style="151"/>
    <col min="9474" max="9476" width="5.109375" style="151" customWidth="1"/>
    <col min="9477" max="9477" width="21.6640625" style="151" customWidth="1"/>
    <col min="9478" max="9478" width="14.33203125" style="151" customWidth="1"/>
    <col min="9479" max="9479" width="15.5546875" style="151" customWidth="1"/>
    <col min="9480" max="9480" width="13.44140625" style="151" customWidth="1"/>
    <col min="9481" max="9487" width="12.44140625" style="151" customWidth="1"/>
    <col min="9488" max="9493" width="13.44140625" style="151" customWidth="1"/>
    <col min="9494" max="9729" width="9.109375" style="151"/>
    <col min="9730" max="9732" width="5.109375" style="151" customWidth="1"/>
    <col min="9733" max="9733" width="21.6640625" style="151" customWidth="1"/>
    <col min="9734" max="9734" width="14.33203125" style="151" customWidth="1"/>
    <col min="9735" max="9735" width="15.5546875" style="151" customWidth="1"/>
    <col min="9736" max="9736" width="13.44140625" style="151" customWidth="1"/>
    <col min="9737" max="9743" width="12.44140625" style="151" customWidth="1"/>
    <col min="9744" max="9749" width="13.44140625" style="151" customWidth="1"/>
    <col min="9750" max="9985" width="9.109375" style="151"/>
    <col min="9986" max="9988" width="5.109375" style="151" customWidth="1"/>
    <col min="9989" max="9989" width="21.6640625" style="151" customWidth="1"/>
    <col min="9990" max="9990" width="14.33203125" style="151" customWidth="1"/>
    <col min="9991" max="9991" width="15.5546875" style="151" customWidth="1"/>
    <col min="9992" max="9992" width="13.44140625" style="151" customWidth="1"/>
    <col min="9993" max="9999" width="12.44140625" style="151" customWidth="1"/>
    <col min="10000" max="10005" width="13.44140625" style="151" customWidth="1"/>
    <col min="10006" max="10241" width="9.109375" style="151"/>
    <col min="10242" max="10244" width="5.109375" style="151" customWidth="1"/>
    <col min="10245" max="10245" width="21.6640625" style="151" customWidth="1"/>
    <col min="10246" max="10246" width="14.33203125" style="151" customWidth="1"/>
    <col min="10247" max="10247" width="15.5546875" style="151" customWidth="1"/>
    <col min="10248" max="10248" width="13.44140625" style="151" customWidth="1"/>
    <col min="10249" max="10255" width="12.44140625" style="151" customWidth="1"/>
    <col min="10256" max="10261" width="13.44140625" style="151" customWidth="1"/>
    <col min="10262" max="10497" width="9.109375" style="151"/>
    <col min="10498" max="10500" width="5.109375" style="151" customWidth="1"/>
    <col min="10501" max="10501" width="21.6640625" style="151" customWidth="1"/>
    <col min="10502" max="10502" width="14.33203125" style="151" customWidth="1"/>
    <col min="10503" max="10503" width="15.5546875" style="151" customWidth="1"/>
    <col min="10504" max="10504" width="13.44140625" style="151" customWidth="1"/>
    <col min="10505" max="10511" width="12.44140625" style="151" customWidth="1"/>
    <col min="10512" max="10517" width="13.44140625" style="151" customWidth="1"/>
    <col min="10518" max="10753" width="9.109375" style="151"/>
    <col min="10754" max="10756" width="5.109375" style="151" customWidth="1"/>
    <col min="10757" max="10757" width="21.6640625" style="151" customWidth="1"/>
    <col min="10758" max="10758" width="14.33203125" style="151" customWidth="1"/>
    <col min="10759" max="10759" width="15.5546875" style="151" customWidth="1"/>
    <col min="10760" max="10760" width="13.44140625" style="151" customWidth="1"/>
    <col min="10761" max="10767" width="12.44140625" style="151" customWidth="1"/>
    <col min="10768" max="10773" width="13.44140625" style="151" customWidth="1"/>
    <col min="10774" max="11009" width="9.109375" style="151"/>
    <col min="11010" max="11012" width="5.109375" style="151" customWidth="1"/>
    <col min="11013" max="11013" width="21.6640625" style="151" customWidth="1"/>
    <col min="11014" max="11014" width="14.33203125" style="151" customWidth="1"/>
    <col min="11015" max="11015" width="15.5546875" style="151" customWidth="1"/>
    <col min="11016" max="11016" width="13.44140625" style="151" customWidth="1"/>
    <col min="11017" max="11023" width="12.44140625" style="151" customWidth="1"/>
    <col min="11024" max="11029" width="13.44140625" style="151" customWidth="1"/>
    <col min="11030" max="11265" width="9.109375" style="151"/>
    <col min="11266" max="11268" width="5.109375" style="151" customWidth="1"/>
    <col min="11269" max="11269" width="21.6640625" style="151" customWidth="1"/>
    <col min="11270" max="11270" width="14.33203125" style="151" customWidth="1"/>
    <col min="11271" max="11271" width="15.5546875" style="151" customWidth="1"/>
    <col min="11272" max="11272" width="13.44140625" style="151" customWidth="1"/>
    <col min="11273" max="11279" width="12.44140625" style="151" customWidth="1"/>
    <col min="11280" max="11285" width="13.44140625" style="151" customWidth="1"/>
    <col min="11286" max="11521" width="9.109375" style="151"/>
    <col min="11522" max="11524" width="5.109375" style="151" customWidth="1"/>
    <col min="11525" max="11525" width="21.6640625" style="151" customWidth="1"/>
    <col min="11526" max="11526" width="14.33203125" style="151" customWidth="1"/>
    <col min="11527" max="11527" width="15.5546875" style="151" customWidth="1"/>
    <col min="11528" max="11528" width="13.44140625" style="151" customWidth="1"/>
    <col min="11529" max="11535" width="12.44140625" style="151" customWidth="1"/>
    <col min="11536" max="11541" width="13.44140625" style="151" customWidth="1"/>
    <col min="11542" max="11777" width="9.109375" style="151"/>
    <col min="11778" max="11780" width="5.109375" style="151" customWidth="1"/>
    <col min="11781" max="11781" width="21.6640625" style="151" customWidth="1"/>
    <col min="11782" max="11782" width="14.33203125" style="151" customWidth="1"/>
    <col min="11783" max="11783" width="15.5546875" style="151" customWidth="1"/>
    <col min="11784" max="11784" width="13.44140625" style="151" customWidth="1"/>
    <col min="11785" max="11791" width="12.44140625" style="151" customWidth="1"/>
    <col min="11792" max="11797" width="13.44140625" style="151" customWidth="1"/>
    <col min="11798" max="12033" width="9.109375" style="151"/>
    <col min="12034" max="12036" width="5.109375" style="151" customWidth="1"/>
    <col min="12037" max="12037" width="21.6640625" style="151" customWidth="1"/>
    <col min="12038" max="12038" width="14.33203125" style="151" customWidth="1"/>
    <col min="12039" max="12039" width="15.5546875" style="151" customWidth="1"/>
    <col min="12040" max="12040" width="13.44140625" style="151" customWidth="1"/>
    <col min="12041" max="12047" width="12.44140625" style="151" customWidth="1"/>
    <col min="12048" max="12053" width="13.44140625" style="151" customWidth="1"/>
    <col min="12054" max="12289" width="9.109375" style="151"/>
    <col min="12290" max="12292" width="5.109375" style="151" customWidth="1"/>
    <col min="12293" max="12293" width="21.6640625" style="151" customWidth="1"/>
    <col min="12294" max="12294" width="14.33203125" style="151" customWidth="1"/>
    <col min="12295" max="12295" width="15.5546875" style="151" customWidth="1"/>
    <col min="12296" max="12296" width="13.44140625" style="151" customWidth="1"/>
    <col min="12297" max="12303" width="12.44140625" style="151" customWidth="1"/>
    <col min="12304" max="12309" width="13.44140625" style="151" customWidth="1"/>
    <col min="12310" max="12545" width="9.109375" style="151"/>
    <col min="12546" max="12548" width="5.109375" style="151" customWidth="1"/>
    <col min="12549" max="12549" width="21.6640625" style="151" customWidth="1"/>
    <col min="12550" max="12550" width="14.33203125" style="151" customWidth="1"/>
    <col min="12551" max="12551" width="15.5546875" style="151" customWidth="1"/>
    <col min="12552" max="12552" width="13.44140625" style="151" customWidth="1"/>
    <col min="12553" max="12559" width="12.44140625" style="151" customWidth="1"/>
    <col min="12560" max="12565" width="13.44140625" style="151" customWidth="1"/>
    <col min="12566" max="12801" width="9.109375" style="151"/>
    <col min="12802" max="12804" width="5.109375" style="151" customWidth="1"/>
    <col min="12805" max="12805" width="21.6640625" style="151" customWidth="1"/>
    <col min="12806" max="12806" width="14.33203125" style="151" customWidth="1"/>
    <col min="12807" max="12807" width="15.5546875" style="151" customWidth="1"/>
    <col min="12808" max="12808" width="13.44140625" style="151" customWidth="1"/>
    <col min="12809" max="12815" width="12.44140625" style="151" customWidth="1"/>
    <col min="12816" max="12821" width="13.44140625" style="151" customWidth="1"/>
    <col min="12822" max="13057" width="9.109375" style="151"/>
    <col min="13058" max="13060" width="5.109375" style="151" customWidth="1"/>
    <col min="13061" max="13061" width="21.6640625" style="151" customWidth="1"/>
    <col min="13062" max="13062" width="14.33203125" style="151" customWidth="1"/>
    <col min="13063" max="13063" width="15.5546875" style="151" customWidth="1"/>
    <col min="13064" max="13064" width="13.44140625" style="151" customWidth="1"/>
    <col min="13065" max="13071" width="12.44140625" style="151" customWidth="1"/>
    <col min="13072" max="13077" width="13.44140625" style="151" customWidth="1"/>
    <col min="13078" max="13313" width="9.109375" style="151"/>
    <col min="13314" max="13316" width="5.109375" style="151" customWidth="1"/>
    <col min="13317" max="13317" width="21.6640625" style="151" customWidth="1"/>
    <col min="13318" max="13318" width="14.33203125" style="151" customWidth="1"/>
    <col min="13319" max="13319" width="15.5546875" style="151" customWidth="1"/>
    <col min="13320" max="13320" width="13.44140625" style="151" customWidth="1"/>
    <col min="13321" max="13327" width="12.44140625" style="151" customWidth="1"/>
    <col min="13328" max="13333" width="13.44140625" style="151" customWidth="1"/>
    <col min="13334" max="13569" width="9.109375" style="151"/>
    <col min="13570" max="13572" width="5.109375" style="151" customWidth="1"/>
    <col min="13573" max="13573" width="21.6640625" style="151" customWidth="1"/>
    <col min="13574" max="13574" width="14.33203125" style="151" customWidth="1"/>
    <col min="13575" max="13575" width="15.5546875" style="151" customWidth="1"/>
    <col min="13576" max="13576" width="13.44140625" style="151" customWidth="1"/>
    <col min="13577" max="13583" width="12.44140625" style="151" customWidth="1"/>
    <col min="13584" max="13589" width="13.44140625" style="151" customWidth="1"/>
    <col min="13590" max="13825" width="9.109375" style="151"/>
    <col min="13826" max="13828" width="5.109375" style="151" customWidth="1"/>
    <col min="13829" max="13829" width="21.6640625" style="151" customWidth="1"/>
    <col min="13830" max="13830" width="14.33203125" style="151" customWidth="1"/>
    <col min="13831" max="13831" width="15.5546875" style="151" customWidth="1"/>
    <col min="13832" max="13832" width="13.44140625" style="151" customWidth="1"/>
    <col min="13833" max="13839" width="12.44140625" style="151" customWidth="1"/>
    <col min="13840" max="13845" width="13.44140625" style="151" customWidth="1"/>
    <col min="13846" max="14081" width="9.109375" style="151"/>
    <col min="14082" max="14084" width="5.109375" style="151" customWidth="1"/>
    <col min="14085" max="14085" width="21.6640625" style="151" customWidth="1"/>
    <col min="14086" max="14086" width="14.33203125" style="151" customWidth="1"/>
    <col min="14087" max="14087" width="15.5546875" style="151" customWidth="1"/>
    <col min="14088" max="14088" width="13.44140625" style="151" customWidth="1"/>
    <col min="14089" max="14095" width="12.44140625" style="151" customWidth="1"/>
    <col min="14096" max="14101" width="13.44140625" style="151" customWidth="1"/>
    <col min="14102" max="14337" width="9.109375" style="151"/>
    <col min="14338" max="14340" width="5.109375" style="151" customWidth="1"/>
    <col min="14341" max="14341" width="21.6640625" style="151" customWidth="1"/>
    <col min="14342" max="14342" width="14.33203125" style="151" customWidth="1"/>
    <col min="14343" max="14343" width="15.5546875" style="151" customWidth="1"/>
    <col min="14344" max="14344" width="13.44140625" style="151" customWidth="1"/>
    <col min="14345" max="14351" width="12.44140625" style="151" customWidth="1"/>
    <col min="14352" max="14357" width="13.44140625" style="151" customWidth="1"/>
    <col min="14358" max="14593" width="9.109375" style="151"/>
    <col min="14594" max="14596" width="5.109375" style="151" customWidth="1"/>
    <col min="14597" max="14597" width="21.6640625" style="151" customWidth="1"/>
    <col min="14598" max="14598" width="14.33203125" style="151" customWidth="1"/>
    <col min="14599" max="14599" width="15.5546875" style="151" customWidth="1"/>
    <col min="14600" max="14600" width="13.44140625" style="151" customWidth="1"/>
    <col min="14601" max="14607" width="12.44140625" style="151" customWidth="1"/>
    <col min="14608" max="14613" width="13.44140625" style="151" customWidth="1"/>
    <col min="14614" max="14849" width="9.109375" style="151"/>
    <col min="14850" max="14852" width="5.109375" style="151" customWidth="1"/>
    <col min="14853" max="14853" width="21.6640625" style="151" customWidth="1"/>
    <col min="14854" max="14854" width="14.33203125" style="151" customWidth="1"/>
    <col min="14855" max="14855" width="15.5546875" style="151" customWidth="1"/>
    <col min="14856" max="14856" width="13.44140625" style="151" customWidth="1"/>
    <col min="14857" max="14863" width="12.44140625" style="151" customWidth="1"/>
    <col min="14864" max="14869" width="13.44140625" style="151" customWidth="1"/>
    <col min="14870" max="15105" width="9.109375" style="151"/>
    <col min="15106" max="15108" width="5.109375" style="151" customWidth="1"/>
    <col min="15109" max="15109" width="21.6640625" style="151" customWidth="1"/>
    <col min="15110" max="15110" width="14.33203125" style="151" customWidth="1"/>
    <col min="15111" max="15111" width="15.5546875" style="151" customWidth="1"/>
    <col min="15112" max="15112" width="13.44140625" style="151" customWidth="1"/>
    <col min="15113" max="15119" width="12.44140625" style="151" customWidth="1"/>
    <col min="15120" max="15125" width="13.44140625" style="151" customWidth="1"/>
    <col min="15126" max="15361" width="9.109375" style="151"/>
    <col min="15362" max="15364" width="5.109375" style="151" customWidth="1"/>
    <col min="15365" max="15365" width="21.6640625" style="151" customWidth="1"/>
    <col min="15366" max="15366" width="14.33203125" style="151" customWidth="1"/>
    <col min="15367" max="15367" width="15.5546875" style="151" customWidth="1"/>
    <col min="15368" max="15368" width="13.44140625" style="151" customWidth="1"/>
    <col min="15369" max="15375" width="12.44140625" style="151" customWidth="1"/>
    <col min="15376" max="15381" width="13.44140625" style="151" customWidth="1"/>
    <col min="15382" max="15617" width="9.109375" style="151"/>
    <col min="15618" max="15620" width="5.109375" style="151" customWidth="1"/>
    <col min="15621" max="15621" width="21.6640625" style="151" customWidth="1"/>
    <col min="15622" max="15622" width="14.33203125" style="151" customWidth="1"/>
    <col min="15623" max="15623" width="15.5546875" style="151" customWidth="1"/>
    <col min="15624" max="15624" width="13.44140625" style="151" customWidth="1"/>
    <col min="15625" max="15631" width="12.44140625" style="151" customWidth="1"/>
    <col min="15632" max="15637" width="13.44140625" style="151" customWidth="1"/>
    <col min="15638" max="15873" width="9.109375" style="151"/>
    <col min="15874" max="15876" width="5.109375" style="151" customWidth="1"/>
    <col min="15877" max="15877" width="21.6640625" style="151" customWidth="1"/>
    <col min="15878" max="15878" width="14.33203125" style="151" customWidth="1"/>
    <col min="15879" max="15879" width="15.5546875" style="151" customWidth="1"/>
    <col min="15880" max="15880" width="13.44140625" style="151" customWidth="1"/>
    <col min="15881" max="15887" width="12.44140625" style="151" customWidth="1"/>
    <col min="15888" max="15893" width="13.44140625" style="151" customWidth="1"/>
    <col min="15894" max="16129" width="9.109375" style="151"/>
    <col min="16130" max="16132" width="5.109375" style="151" customWidth="1"/>
    <col min="16133" max="16133" width="21.6640625" style="151" customWidth="1"/>
    <col min="16134" max="16134" width="14.33203125" style="151" customWidth="1"/>
    <col min="16135" max="16135" width="15.5546875" style="151" customWidth="1"/>
    <col min="16136" max="16136" width="13.44140625" style="151" customWidth="1"/>
    <col min="16137" max="16143" width="12.44140625" style="151" customWidth="1"/>
    <col min="16144" max="16149" width="13.44140625" style="151" customWidth="1"/>
    <col min="16150" max="16384" width="9.109375" style="151"/>
  </cols>
  <sheetData>
    <row r="1" spans="2:21" ht="57.75" customHeight="1" x14ac:dyDescent="0.25">
      <c r="B1" s="495" t="s">
        <v>278</v>
      </c>
      <c r="C1" s="496"/>
      <c r="D1" s="496"/>
      <c r="E1" s="496"/>
      <c r="F1" s="496"/>
      <c r="G1" s="496"/>
      <c r="H1" s="496"/>
      <c r="I1" s="496"/>
      <c r="J1" s="496"/>
      <c r="K1" s="496"/>
      <c r="L1" s="496"/>
      <c r="M1" s="496"/>
      <c r="N1" s="496"/>
      <c r="O1" s="496"/>
      <c r="P1" s="496"/>
      <c r="Q1" s="496"/>
      <c r="R1" s="496"/>
      <c r="S1" s="496"/>
      <c r="T1" s="496"/>
      <c r="U1" s="497"/>
    </row>
    <row r="2" spans="2:21" ht="28.5" customHeight="1" thickBot="1" x14ac:dyDescent="0.3">
      <c r="B2" s="498" t="s">
        <v>279</v>
      </c>
      <c r="C2" s="499"/>
      <c r="D2" s="499"/>
      <c r="E2" s="499"/>
      <c r="F2" s="499"/>
      <c r="G2" s="499"/>
      <c r="H2" s="499"/>
      <c r="I2" s="499"/>
      <c r="J2" s="499"/>
      <c r="K2" s="499"/>
      <c r="L2" s="499"/>
      <c r="M2" s="499"/>
      <c r="N2" s="499"/>
      <c r="O2" s="499"/>
      <c r="P2" s="499"/>
      <c r="Q2" s="499"/>
      <c r="R2" s="499"/>
      <c r="S2" s="499"/>
      <c r="T2" s="499"/>
      <c r="U2" s="500"/>
    </row>
    <row r="3" spans="2:21" ht="13.5" customHeight="1" thickBot="1" x14ac:dyDescent="0.3">
      <c r="B3" s="501"/>
      <c r="C3" s="501"/>
      <c r="D3" s="501"/>
      <c r="E3" s="501"/>
      <c r="F3" s="501"/>
      <c r="G3" s="501"/>
      <c r="H3" s="501"/>
      <c r="I3" s="501"/>
      <c r="J3" s="501"/>
      <c r="K3" s="501"/>
      <c r="L3" s="501"/>
      <c r="M3" s="501"/>
      <c r="N3" s="501"/>
      <c r="O3" s="501"/>
    </row>
    <row r="4" spans="2:21" ht="27.75" customHeight="1" thickBot="1" x14ac:dyDescent="0.3">
      <c r="B4" s="502" t="s">
        <v>482</v>
      </c>
      <c r="C4" s="503"/>
      <c r="D4" s="503"/>
      <c r="E4" s="503"/>
      <c r="F4" s="503"/>
      <c r="G4" s="503"/>
      <c r="H4" s="503"/>
      <c r="I4" s="503"/>
      <c r="J4" s="503"/>
      <c r="K4" s="503"/>
      <c r="L4" s="503"/>
      <c r="M4" s="503"/>
      <c r="N4" s="503"/>
      <c r="O4" s="503"/>
      <c r="P4" s="503"/>
      <c r="Q4" s="503"/>
      <c r="R4" s="503"/>
      <c r="S4" s="503"/>
      <c r="T4" s="503"/>
      <c r="U4" s="504"/>
    </row>
    <row r="5" spans="2:21" ht="19.5" customHeight="1" thickBot="1" x14ac:dyDescent="0.3">
      <c r="B5" s="501"/>
      <c r="C5" s="501"/>
      <c r="D5" s="501"/>
      <c r="E5" s="501"/>
      <c r="F5" s="501"/>
      <c r="G5" s="501"/>
      <c r="H5" s="501"/>
      <c r="I5" s="501"/>
      <c r="J5" s="501"/>
      <c r="K5" s="501"/>
      <c r="L5" s="501"/>
      <c r="M5" s="501"/>
      <c r="N5" s="501"/>
      <c r="O5" s="501"/>
    </row>
    <row r="6" spans="2:21" ht="24.75" customHeight="1" x14ac:dyDescent="0.25">
      <c r="B6" s="505" t="s">
        <v>280</v>
      </c>
      <c r="C6" s="508" t="s">
        <v>23</v>
      </c>
      <c r="D6" s="508"/>
      <c r="E6" s="508"/>
      <c r="F6" s="508"/>
      <c r="G6" s="508"/>
      <c r="H6" s="508"/>
      <c r="I6" s="508"/>
      <c r="J6" s="509">
        <f>Form!C5</f>
        <v>0</v>
      </c>
      <c r="K6" s="509"/>
      <c r="L6" s="509"/>
      <c r="M6" s="509"/>
      <c r="N6" s="509"/>
      <c r="O6" s="509"/>
      <c r="P6" s="509"/>
      <c r="Q6" s="509"/>
      <c r="R6" s="509"/>
      <c r="S6" s="509"/>
      <c r="T6" s="509"/>
      <c r="U6" s="510"/>
    </row>
    <row r="7" spans="2:21" ht="24.75" customHeight="1" x14ac:dyDescent="0.25">
      <c r="B7" s="506"/>
      <c r="C7" s="511" t="s">
        <v>281</v>
      </c>
      <c r="D7" s="511"/>
      <c r="E7" s="511"/>
      <c r="F7" s="511"/>
      <c r="G7" s="511"/>
      <c r="H7" s="511"/>
      <c r="I7" s="511"/>
      <c r="J7" s="512">
        <f>Form!C7</f>
        <v>0</v>
      </c>
      <c r="K7" s="513"/>
      <c r="L7" s="513"/>
      <c r="M7" s="513"/>
      <c r="N7" s="513"/>
      <c r="O7" s="513"/>
      <c r="P7" s="513"/>
      <c r="Q7" s="513"/>
      <c r="R7" s="513"/>
      <c r="S7" s="513"/>
      <c r="T7" s="513"/>
      <c r="U7" s="514"/>
    </row>
    <row r="8" spans="2:21" ht="24.75" customHeight="1" x14ac:dyDescent="0.25">
      <c r="B8" s="506"/>
      <c r="C8" s="511" t="s">
        <v>282</v>
      </c>
      <c r="D8" s="511"/>
      <c r="E8" s="511"/>
      <c r="F8" s="511"/>
      <c r="G8" s="511"/>
      <c r="H8" s="511"/>
      <c r="I8" s="511"/>
      <c r="J8" s="512" t="str">
        <f>Form!C2</f>
        <v>PAJANCOA&amp;RI, Karaikal</v>
      </c>
      <c r="K8" s="513"/>
      <c r="L8" s="513"/>
      <c r="M8" s="513"/>
      <c r="N8" s="513"/>
      <c r="O8" s="513"/>
      <c r="P8" s="513"/>
      <c r="Q8" s="513"/>
      <c r="R8" s="513"/>
      <c r="S8" s="513"/>
      <c r="T8" s="513"/>
      <c r="U8" s="514"/>
    </row>
    <row r="9" spans="2:21" ht="24.75" customHeight="1" x14ac:dyDescent="0.25">
      <c r="B9" s="506"/>
      <c r="C9" s="511" t="s">
        <v>283</v>
      </c>
      <c r="D9" s="511"/>
      <c r="E9" s="511"/>
      <c r="F9" s="511"/>
      <c r="G9" s="511"/>
      <c r="H9" s="511"/>
      <c r="I9" s="511"/>
      <c r="J9" s="513">
        <f>Form!C8</f>
        <v>0</v>
      </c>
      <c r="K9" s="513"/>
      <c r="L9" s="513"/>
      <c r="M9" s="513"/>
      <c r="N9" s="513"/>
      <c r="O9" s="513"/>
      <c r="P9" s="513"/>
      <c r="Q9" s="513"/>
      <c r="R9" s="513"/>
      <c r="S9" s="513"/>
      <c r="T9" s="513"/>
      <c r="U9" s="514"/>
    </row>
    <row r="10" spans="2:21" ht="24.75" customHeight="1" thickBot="1" x14ac:dyDescent="0.3">
      <c r="B10" s="507"/>
      <c r="C10" s="515" t="s">
        <v>284</v>
      </c>
      <c r="D10" s="515"/>
      <c r="E10" s="515"/>
      <c r="F10" s="515"/>
      <c r="G10" s="515"/>
      <c r="H10" s="515"/>
      <c r="I10" s="515"/>
      <c r="J10" s="516">
        <f>Form!C6</f>
        <v>0</v>
      </c>
      <c r="K10" s="517"/>
      <c r="L10" s="517"/>
      <c r="M10" s="517"/>
      <c r="N10" s="517"/>
      <c r="O10" s="517"/>
      <c r="P10" s="517"/>
      <c r="Q10" s="517"/>
      <c r="R10" s="517"/>
      <c r="S10" s="517"/>
      <c r="T10" s="517"/>
      <c r="U10" s="518"/>
    </row>
    <row r="11" spans="2:21" ht="37.5" customHeight="1" thickBot="1" x14ac:dyDescent="0.3">
      <c r="C11" s="481"/>
      <c r="D11" s="481"/>
      <c r="E11" s="481"/>
      <c r="F11" s="481"/>
      <c r="G11" s="481"/>
      <c r="H11" s="481"/>
      <c r="I11" s="481"/>
      <c r="J11" s="481"/>
      <c r="K11" s="481"/>
      <c r="L11" s="481"/>
      <c r="M11" s="481"/>
      <c r="N11" s="481"/>
      <c r="O11" s="481"/>
    </row>
    <row r="12" spans="2:21" ht="42" customHeight="1" thickTop="1" x14ac:dyDescent="0.25">
      <c r="B12" s="482" t="s">
        <v>286</v>
      </c>
      <c r="C12" s="485" t="s">
        <v>481</v>
      </c>
      <c r="D12" s="486"/>
      <c r="E12" s="486"/>
      <c r="F12" s="486"/>
      <c r="G12" s="486"/>
      <c r="H12" s="486"/>
      <c r="I12" s="486"/>
      <c r="J12" s="486"/>
      <c r="K12" s="486"/>
      <c r="L12" s="486"/>
      <c r="M12" s="486"/>
      <c r="N12" s="486"/>
      <c r="O12" s="486"/>
      <c r="P12" s="486"/>
      <c r="Q12" s="486"/>
      <c r="R12" s="486"/>
      <c r="S12" s="486"/>
      <c r="T12" s="486"/>
      <c r="U12" s="487"/>
    </row>
    <row r="13" spans="2:21" ht="24" customHeight="1" x14ac:dyDescent="0.25">
      <c r="B13" s="483"/>
      <c r="C13" s="488" t="s">
        <v>287</v>
      </c>
      <c r="D13" s="489"/>
      <c r="E13" s="489"/>
      <c r="F13" s="163" t="s">
        <v>288</v>
      </c>
      <c r="G13" s="163" t="s">
        <v>289</v>
      </c>
      <c r="H13" s="163" t="s">
        <v>290</v>
      </c>
      <c r="I13" s="164" t="s">
        <v>291</v>
      </c>
      <c r="J13" s="165" t="s">
        <v>292</v>
      </c>
      <c r="K13" s="165" t="s">
        <v>293</v>
      </c>
      <c r="L13" s="165" t="s">
        <v>294</v>
      </c>
      <c r="M13" s="165" t="s">
        <v>295</v>
      </c>
      <c r="N13" s="165" t="s">
        <v>296</v>
      </c>
      <c r="O13" s="165" t="s">
        <v>297</v>
      </c>
      <c r="P13" s="165" t="s">
        <v>298</v>
      </c>
      <c r="Q13" s="165" t="s">
        <v>299</v>
      </c>
      <c r="R13" s="165" t="s">
        <v>300</v>
      </c>
      <c r="S13" s="165" t="s">
        <v>301</v>
      </c>
      <c r="T13" s="165" t="s">
        <v>302</v>
      </c>
      <c r="U13" s="166" t="s">
        <v>303</v>
      </c>
    </row>
    <row r="14" spans="2:21" s="167" customFormat="1" ht="53.25" customHeight="1" x14ac:dyDescent="0.3">
      <c r="B14" s="483"/>
      <c r="C14" s="490" t="s">
        <v>304</v>
      </c>
      <c r="D14" s="451"/>
      <c r="E14" s="451"/>
      <c r="F14" s="293">
        <f>IF('IT statement'!D9="NEW REGIME", ('IT statement'!L46-'Monthly Salary'!K22),('IT statement'!L78-'Monthly Salary'!K22))</f>
        <v>0</v>
      </c>
      <c r="G14" s="168"/>
      <c r="H14" s="168"/>
      <c r="I14" s="168"/>
      <c r="J14" s="168"/>
      <c r="K14" s="169"/>
      <c r="L14" s="169"/>
      <c r="M14" s="169"/>
      <c r="N14" s="169"/>
      <c r="O14" s="169"/>
      <c r="P14" s="168"/>
      <c r="Q14" s="168"/>
      <c r="R14" s="168"/>
      <c r="S14" s="169"/>
      <c r="T14" s="169"/>
      <c r="U14" s="170"/>
    </row>
    <row r="15" spans="2:21" s="167" customFormat="1" ht="52.5" customHeight="1" x14ac:dyDescent="0.3">
      <c r="B15" s="483"/>
      <c r="C15" s="490" t="s">
        <v>478</v>
      </c>
      <c r="D15" s="451"/>
      <c r="E15" s="451"/>
      <c r="F15" s="168"/>
      <c r="G15" s="168"/>
      <c r="H15" s="168"/>
      <c r="I15" s="168"/>
      <c r="J15" s="168"/>
      <c r="K15" s="171"/>
      <c r="L15" s="171"/>
      <c r="M15" s="171"/>
      <c r="N15" s="171"/>
      <c r="O15" s="171"/>
      <c r="P15" s="168"/>
      <c r="Q15" s="168"/>
      <c r="R15" s="168"/>
      <c r="S15" s="171"/>
      <c r="T15" s="171"/>
      <c r="U15" s="172"/>
    </row>
    <row r="16" spans="2:21" s="167" customFormat="1" ht="33" customHeight="1" thickBot="1" x14ac:dyDescent="0.35">
      <c r="B16" s="484"/>
      <c r="C16" s="491" t="s">
        <v>305</v>
      </c>
      <c r="D16" s="492"/>
      <c r="E16" s="492"/>
      <c r="F16" s="492"/>
      <c r="G16" s="492"/>
      <c r="H16" s="492"/>
      <c r="I16" s="492"/>
      <c r="J16" s="492"/>
      <c r="K16" s="492"/>
      <c r="L16" s="492"/>
      <c r="M16" s="492"/>
      <c r="N16" s="492"/>
      <c r="O16" s="492"/>
      <c r="P16" s="492"/>
      <c r="Q16" s="492"/>
      <c r="R16" s="492"/>
      <c r="S16" s="492"/>
      <c r="T16" s="493">
        <f>SUM(F15:U15)</f>
        <v>0</v>
      </c>
      <c r="U16" s="494"/>
    </row>
    <row r="17" spans="2:21" s="167" customFormat="1" ht="33" customHeight="1" thickTop="1" thickBot="1" x14ac:dyDescent="0.35">
      <c r="B17" s="472"/>
      <c r="C17" s="457"/>
      <c r="D17" s="457"/>
      <c r="E17" s="457"/>
      <c r="F17" s="457"/>
      <c r="G17" s="457"/>
      <c r="H17" s="457"/>
      <c r="I17" s="457"/>
      <c r="J17" s="457"/>
      <c r="K17" s="457"/>
      <c r="L17" s="457"/>
      <c r="M17" s="457"/>
      <c r="N17" s="457"/>
      <c r="O17" s="457"/>
      <c r="P17" s="174"/>
    </row>
    <row r="18" spans="2:21" s="167" customFormat="1" ht="33" customHeight="1" thickBot="1" x14ac:dyDescent="0.35">
      <c r="B18" s="473" t="s">
        <v>306</v>
      </c>
      <c r="C18" s="474"/>
      <c r="D18" s="474"/>
      <c r="E18" s="474"/>
      <c r="F18" s="474"/>
      <c r="G18" s="474"/>
      <c r="H18" s="474"/>
      <c r="I18" s="474"/>
      <c r="J18" s="474"/>
      <c r="K18" s="474"/>
      <c r="L18" s="474"/>
      <c r="M18" s="474"/>
      <c r="N18" s="474"/>
      <c r="O18" s="474"/>
      <c r="P18" s="474"/>
      <c r="Q18" s="474"/>
      <c r="R18" s="474"/>
      <c r="S18" s="474"/>
      <c r="T18" s="474"/>
      <c r="U18" s="475"/>
    </row>
    <row r="19" spans="2:21" s="167" customFormat="1" ht="13.5" customHeight="1" thickBot="1" x14ac:dyDescent="0.35">
      <c r="B19" s="173"/>
      <c r="C19" s="173"/>
      <c r="D19" s="173"/>
      <c r="E19" s="173"/>
      <c r="F19" s="173"/>
      <c r="G19" s="173"/>
      <c r="H19" s="173"/>
      <c r="I19" s="173"/>
      <c r="J19" s="173"/>
      <c r="K19" s="173"/>
      <c r="L19" s="173"/>
      <c r="M19" s="173"/>
      <c r="N19" s="173"/>
      <c r="O19" s="173"/>
      <c r="P19" s="174"/>
    </row>
    <row r="20" spans="2:21" s="167" customFormat="1" ht="33" customHeight="1" x14ac:dyDescent="0.3">
      <c r="B20" s="476" t="s">
        <v>307</v>
      </c>
      <c r="C20" s="479" t="s">
        <v>308</v>
      </c>
      <c r="D20" s="479"/>
      <c r="E20" s="479"/>
      <c r="F20" s="479"/>
      <c r="G20" s="479"/>
      <c r="H20" s="479"/>
      <c r="I20" s="479"/>
      <c r="J20" s="479"/>
      <c r="K20" s="479"/>
      <c r="L20" s="479"/>
      <c r="M20" s="479"/>
      <c r="N20" s="479"/>
      <c r="O20" s="479"/>
      <c r="P20" s="479"/>
      <c r="Q20" s="479"/>
      <c r="R20" s="479"/>
      <c r="S20" s="479"/>
      <c r="T20" s="479"/>
      <c r="U20" s="480"/>
    </row>
    <row r="21" spans="2:21" s="167" customFormat="1" ht="33" customHeight="1" x14ac:dyDescent="0.3">
      <c r="B21" s="477"/>
      <c r="C21" s="468" t="s">
        <v>287</v>
      </c>
      <c r="D21" s="468"/>
      <c r="E21" s="468"/>
      <c r="F21" s="163" t="s">
        <v>288</v>
      </c>
      <c r="G21" s="163" t="s">
        <v>289</v>
      </c>
      <c r="H21" s="175" t="s">
        <v>290</v>
      </c>
      <c r="I21" s="164" t="s">
        <v>291</v>
      </c>
      <c r="J21" s="165" t="s">
        <v>292</v>
      </c>
      <c r="K21" s="165" t="s">
        <v>293</v>
      </c>
      <c r="L21" s="165" t="s">
        <v>294</v>
      </c>
      <c r="M21" s="165" t="s">
        <v>295</v>
      </c>
      <c r="N21" s="165" t="s">
        <v>296</v>
      </c>
      <c r="O21" s="165" t="s">
        <v>297</v>
      </c>
      <c r="P21" s="165" t="s">
        <v>298</v>
      </c>
      <c r="Q21" s="165" t="s">
        <v>299</v>
      </c>
      <c r="R21" s="165" t="s">
        <v>300</v>
      </c>
      <c r="S21" s="165" t="s">
        <v>301</v>
      </c>
      <c r="T21" s="165" t="s">
        <v>302</v>
      </c>
      <c r="U21" s="166" t="s">
        <v>303</v>
      </c>
    </row>
    <row r="22" spans="2:21" s="167" customFormat="1" ht="33" customHeight="1" x14ac:dyDescent="0.3">
      <c r="B22" s="477"/>
      <c r="C22" s="451" t="s">
        <v>309</v>
      </c>
      <c r="D22" s="451"/>
      <c r="E22" s="451"/>
      <c r="F22" s="176" t="s">
        <v>310</v>
      </c>
      <c r="G22" s="176" t="s">
        <v>310</v>
      </c>
      <c r="H22" s="176" t="s">
        <v>310</v>
      </c>
      <c r="I22" s="177" t="s">
        <v>310</v>
      </c>
      <c r="J22" s="178" t="s">
        <v>310</v>
      </c>
      <c r="K22" s="179"/>
      <c r="L22" s="179"/>
      <c r="M22" s="179"/>
      <c r="N22" s="179"/>
      <c r="O22" s="179"/>
      <c r="P22" s="179"/>
      <c r="Q22" s="179"/>
      <c r="R22" s="179"/>
      <c r="S22" s="179"/>
      <c r="T22" s="179"/>
      <c r="U22" s="180"/>
    </row>
    <row r="23" spans="2:21" s="167" customFormat="1" ht="33" customHeight="1" x14ac:dyDescent="0.3">
      <c r="B23" s="477"/>
      <c r="C23" s="451" t="s">
        <v>311</v>
      </c>
      <c r="D23" s="451"/>
      <c r="E23" s="451"/>
      <c r="F23" s="181">
        <f>F14</f>
        <v>0</v>
      </c>
      <c r="G23" s="181">
        <f>G14</f>
        <v>0</v>
      </c>
      <c r="H23" s="181">
        <f>H14</f>
        <v>0</v>
      </c>
      <c r="I23" s="181">
        <f>I14</f>
        <v>0</v>
      </c>
      <c r="J23" s="181">
        <f t="shared" ref="J23:U23" si="0">J14</f>
        <v>0</v>
      </c>
      <c r="K23" s="181">
        <f t="shared" si="0"/>
        <v>0</v>
      </c>
      <c r="L23" s="181">
        <f t="shared" si="0"/>
        <v>0</v>
      </c>
      <c r="M23" s="181">
        <f>M14</f>
        <v>0</v>
      </c>
      <c r="N23" s="181">
        <f t="shared" si="0"/>
        <v>0</v>
      </c>
      <c r="O23" s="181">
        <f t="shared" si="0"/>
        <v>0</v>
      </c>
      <c r="P23" s="181">
        <f t="shared" si="0"/>
        <v>0</v>
      </c>
      <c r="Q23" s="181">
        <f t="shared" si="0"/>
        <v>0</v>
      </c>
      <c r="R23" s="181">
        <f t="shared" si="0"/>
        <v>0</v>
      </c>
      <c r="S23" s="181">
        <f t="shared" si="0"/>
        <v>0</v>
      </c>
      <c r="T23" s="181">
        <f t="shared" si="0"/>
        <v>0</v>
      </c>
      <c r="U23" s="182">
        <f t="shared" si="0"/>
        <v>0</v>
      </c>
    </row>
    <row r="24" spans="2:21" s="167" customFormat="1" ht="33" customHeight="1" x14ac:dyDescent="0.3">
      <c r="B24" s="477"/>
      <c r="C24" s="451" t="s">
        <v>312</v>
      </c>
      <c r="D24" s="451"/>
      <c r="E24" s="451"/>
      <c r="F24" s="183">
        <f>T16</f>
        <v>0</v>
      </c>
      <c r="G24" s="183"/>
      <c r="H24" s="181"/>
      <c r="I24" s="181"/>
      <c r="J24" s="181"/>
      <c r="K24" s="181"/>
      <c r="L24" s="181"/>
      <c r="M24" s="181"/>
      <c r="N24" s="181"/>
      <c r="O24" s="181"/>
      <c r="P24" s="184"/>
      <c r="Q24" s="184"/>
      <c r="R24" s="184"/>
      <c r="S24" s="184"/>
      <c r="T24" s="184"/>
      <c r="U24" s="185"/>
    </row>
    <row r="25" spans="2:21" s="167" customFormat="1" ht="33" customHeight="1" x14ac:dyDescent="0.3">
      <c r="B25" s="477"/>
      <c r="C25" s="451" t="s">
        <v>313</v>
      </c>
      <c r="D25" s="451"/>
      <c r="E25" s="451"/>
      <c r="F25" s="181">
        <f>SUM(F23:F24)</f>
        <v>0</v>
      </c>
      <c r="G25" s="181">
        <f>SUM(G23:G24)</f>
        <v>0</v>
      </c>
      <c r="H25" s="181">
        <f>SUM(H23:H24)</f>
        <v>0</v>
      </c>
      <c r="I25" s="181">
        <f t="shared" ref="I25:U25" si="1">SUM(I23:I24)</f>
        <v>0</v>
      </c>
      <c r="J25" s="181">
        <f t="shared" si="1"/>
        <v>0</v>
      </c>
      <c r="K25" s="181">
        <f t="shared" si="1"/>
        <v>0</v>
      </c>
      <c r="L25" s="181">
        <f t="shared" si="1"/>
        <v>0</v>
      </c>
      <c r="M25" s="181">
        <f t="shared" si="1"/>
        <v>0</v>
      </c>
      <c r="N25" s="181">
        <f t="shared" si="1"/>
        <v>0</v>
      </c>
      <c r="O25" s="181">
        <f t="shared" si="1"/>
        <v>0</v>
      </c>
      <c r="P25" s="181">
        <f t="shared" si="1"/>
        <v>0</v>
      </c>
      <c r="Q25" s="181">
        <f t="shared" si="1"/>
        <v>0</v>
      </c>
      <c r="R25" s="181">
        <f t="shared" si="1"/>
        <v>0</v>
      </c>
      <c r="S25" s="181">
        <f t="shared" si="1"/>
        <v>0</v>
      </c>
      <c r="T25" s="181">
        <f t="shared" si="1"/>
        <v>0</v>
      </c>
      <c r="U25" s="182">
        <f t="shared" si="1"/>
        <v>0</v>
      </c>
    </row>
    <row r="26" spans="2:21" s="167" customFormat="1" ht="33" customHeight="1" x14ac:dyDescent="0.3">
      <c r="B26" s="477"/>
      <c r="C26" s="451" t="s">
        <v>314</v>
      </c>
      <c r="D26" s="451"/>
      <c r="E26" s="451"/>
      <c r="F26" s="181">
        <f>IF($F$22="Old tax",(IF(J10="Male",Calc!F2,IF(J10="Female",Calc!F3,IF(J10="Senior Citizen", Calc!F4, 0)))),(IF(J10="Male",Calc!W2,IF(J10="Female",Calc!W3,IF(J10="Senior Citizen", Calc!W4, 0)))))</f>
        <v>0</v>
      </c>
      <c r="G26" s="181">
        <f>IF($G$22="Old tax",(IF(J10="Male",Calc!G2,IF(J10="Female",Calc!G3,IF(J10="Senior Citizen", Calc!G4, 0)))),(IF(J10="Male",Calc!X2,IF(J10="Female",Calc!X3,IF(J10="Senior Citizen", Calc!X4, 0)))))</f>
        <v>0</v>
      </c>
      <c r="H26" s="181">
        <f>IF($H$22="Old tax",(IF(J10="Male",Calc!H2,IF(J10="Female",Calc!H3,IF(J10="Senior Citizen", Calc!H4, 0)))),(IF(J10="Male",Calc!Y2,IF(J10="Female",Calc!Y3,IF(J10="Senior Citizen", Calc!Y4, 0)))))</f>
        <v>0</v>
      </c>
      <c r="I26" s="181">
        <f>IF($I$22="Old tax",(IF($J$10="Male",Calc!I2,IF($J$10="Female",Calc!I3,IF($J$10="Senior Citizen", Calc!I4, 0)))),(IF($J$10="Male",Calc!Z2,IF($J$10="Female",Calc!Z3,IF($J$10="Senior Citizen", Calc!Z4, 0)))))</f>
        <v>0</v>
      </c>
      <c r="J26" s="181">
        <f>IF($J$22="Old tax",(IF($J$10="Male",Calc!J2,IF($J$10="Female",Calc!J3,IF($J$10="Senior Citizen", Calc!J4, 0)))),(IF($J$10="Male",Calc!AA2,IF($J$10="Female",Calc!AA3,IF($J$10="Senior Citizen", Calc!AA4, 0)))))</f>
        <v>0</v>
      </c>
      <c r="K26" s="181">
        <f>IF($J$10="Male",Calc!K2,IF($J$10="Female",Calc!K3,IF($J$10="Senior Citizen", Calc!K4, 0)))</f>
        <v>0</v>
      </c>
      <c r="L26" s="181">
        <f>IF($J$10="Male",Calc!L2,IF($J$10="Female",Calc!L3,IF($J$10="Senior Citizen", Calc!L4, 0)))</f>
        <v>0</v>
      </c>
      <c r="M26" s="181">
        <f>IF($J$10="Male",Calc!M2,IF($J$10="Female",Calc!M3,IF($J$10="Senior Citizen", Calc!M4, 0)))</f>
        <v>0</v>
      </c>
      <c r="N26" s="181">
        <f>IF($J$10="Male",Calc!N2,IF($J$10="Female",Calc!N3,IF($J$10="Senior Citizen", Calc!N4, 0)))</f>
        <v>0</v>
      </c>
      <c r="O26" s="181">
        <f>IF($J$10="Male",Calc!O2,IF($J$10="Female",Calc!O3,IF($J$10="Senior Citizen", Calc!O4, 0)))</f>
        <v>0</v>
      </c>
      <c r="P26" s="181">
        <f>IF($J$10="Male",Calc!P2,IF($J$10="Female",Calc!P3,IF($J$10="Senior Citizen", Calc!P4, 0)))</f>
        <v>0</v>
      </c>
      <c r="Q26" s="181">
        <f>IF($J$10="Male",Calc!Q2,IF($J$10="Female",Calc!Q3,IF($J$10="Senior Citizen", Calc!Q4, 0)))</f>
        <v>0</v>
      </c>
      <c r="R26" s="181">
        <f>IF($J$10="Male",Calc!R2,IF($J$10="Female",Calc!R3,IF($J$10="Senior Citizen", Calc!R4, 0)))</f>
        <v>0</v>
      </c>
      <c r="S26" s="181">
        <f>IF($J$10="Male",Calc!S2,IF($J$10="Female",Calc!S3,IF($J$10="Senior Citizen", Calc!S4, 0)))</f>
        <v>0</v>
      </c>
      <c r="T26" s="181">
        <f>IF($J$10="Male",Calc!T2,IF($J$10="Female",Calc!T3,IF($J$10="Senior Citizen", Calc!T4, 0)))</f>
        <v>0</v>
      </c>
      <c r="U26" s="182">
        <f>IF($J$10="Male",Calc!U2,IF($J$10="Female",Calc!U3,IF($J$10="Senior Citizen", Calc!U4, 0)))</f>
        <v>0</v>
      </c>
    </row>
    <row r="27" spans="2:21" s="167" customFormat="1" ht="33" customHeight="1" x14ac:dyDescent="0.3">
      <c r="B27" s="477"/>
      <c r="C27" s="469" t="s">
        <v>479</v>
      </c>
      <c r="D27" s="470"/>
      <c r="E27" s="471"/>
      <c r="F27" s="181">
        <f>IF(F25&gt;750000,0,IF((F26-25000)&lt;0,F26,25000))</f>
        <v>0</v>
      </c>
      <c r="G27" s="181">
        <f>IF(G25&gt;700000,0,IF((G26-25000)&lt;0,G26,25000))</f>
        <v>0</v>
      </c>
      <c r="H27" s="181">
        <f>IF(H25&gt;500000,0,IF((H26-12500)&lt;0,H26,12500))</f>
        <v>0</v>
      </c>
      <c r="I27" s="181">
        <f>IF(I25&gt;500000,0,IF((I26-12500)&lt;0,I26,12500))</f>
        <v>0</v>
      </c>
      <c r="J27" s="181">
        <f>IF(J25&gt;500000,0,IF((J26-12500)&lt;0,J26,12500))</f>
        <v>0</v>
      </c>
      <c r="K27" s="181">
        <f>IF(K25&gt;500000,0,IF((K26-12500)&lt;0,K26,12500))</f>
        <v>0</v>
      </c>
      <c r="L27" s="181">
        <f>IF(L25&gt;350000,0,IF((L26-2500)&lt;0,L26,2500))</f>
        <v>0</v>
      </c>
      <c r="M27" s="181">
        <f>IF(M25&gt;350000,0,IF((M26-2500)&lt;0,M26,2500))</f>
        <v>0</v>
      </c>
      <c r="N27" s="181">
        <f>IF(N25&gt;500000,0,IF((N26-5000)&lt;0,N26,5000))</f>
        <v>0</v>
      </c>
      <c r="O27" s="181">
        <f>IF(O25&gt;500000,0,IF((O26-2000)&lt;0,O26,2000))</f>
        <v>0</v>
      </c>
      <c r="P27" s="181">
        <f>IF(P25&gt;500000,0,IF((P26-2000)&lt;0,P26,2000))</f>
        <v>0</v>
      </c>
      <c r="Q27" s="181">
        <f>IF(Q25&gt;500000,0,IF((Q26-2000)&lt;0,Q26,2000))</f>
        <v>0</v>
      </c>
      <c r="R27" s="181"/>
      <c r="S27" s="181"/>
      <c r="T27" s="181"/>
      <c r="U27" s="182"/>
    </row>
    <row r="28" spans="2:21" s="167" customFormat="1" ht="33" customHeight="1" x14ac:dyDescent="0.3">
      <c r="B28" s="477"/>
      <c r="C28" s="469" t="s">
        <v>480</v>
      </c>
      <c r="D28" s="470"/>
      <c r="E28" s="471"/>
      <c r="F28" s="181">
        <f>F26-F27</f>
        <v>0</v>
      </c>
      <c r="G28" s="181">
        <f t="shared" ref="G28:Q28" si="2">G26-G27</f>
        <v>0</v>
      </c>
      <c r="H28" s="181">
        <f t="shared" si="2"/>
        <v>0</v>
      </c>
      <c r="I28" s="181">
        <f t="shared" si="2"/>
        <v>0</v>
      </c>
      <c r="J28" s="181">
        <f t="shared" si="2"/>
        <v>0</v>
      </c>
      <c r="K28" s="181">
        <f t="shared" si="2"/>
        <v>0</v>
      </c>
      <c r="L28" s="181">
        <f t="shared" si="2"/>
        <v>0</v>
      </c>
      <c r="M28" s="181">
        <f t="shared" si="2"/>
        <v>0</v>
      </c>
      <c r="N28" s="181">
        <f t="shared" si="2"/>
        <v>0</v>
      </c>
      <c r="O28" s="181">
        <f t="shared" si="2"/>
        <v>0</v>
      </c>
      <c r="P28" s="181">
        <f t="shared" si="2"/>
        <v>0</v>
      </c>
      <c r="Q28" s="181">
        <f t="shared" si="2"/>
        <v>0</v>
      </c>
      <c r="R28" s="181"/>
      <c r="S28" s="181"/>
      <c r="T28" s="181"/>
      <c r="U28" s="182"/>
    </row>
    <row r="29" spans="2:21" s="167" customFormat="1" ht="33" customHeight="1" x14ac:dyDescent="0.3">
      <c r="B29" s="477"/>
      <c r="C29" s="451" t="s">
        <v>315</v>
      </c>
      <c r="D29" s="451"/>
      <c r="E29" s="451"/>
      <c r="F29" s="181">
        <f>IF(F25&gt;5000000, (F28*10%), 0)</f>
        <v>0</v>
      </c>
      <c r="G29" s="181">
        <f>IF(G25&gt;5000000, (G28*10%), 0)</f>
        <v>0</v>
      </c>
      <c r="H29" s="181">
        <f t="shared" ref="H29:Q29" si="3">IF(H25&gt;5000000, (H28*10%), 0)</f>
        <v>0</v>
      </c>
      <c r="I29" s="181">
        <f t="shared" si="3"/>
        <v>0</v>
      </c>
      <c r="J29" s="181">
        <f t="shared" si="3"/>
        <v>0</v>
      </c>
      <c r="K29" s="181">
        <f t="shared" si="3"/>
        <v>0</v>
      </c>
      <c r="L29" s="181">
        <f t="shared" si="3"/>
        <v>0</v>
      </c>
      <c r="M29" s="181">
        <f t="shared" si="3"/>
        <v>0</v>
      </c>
      <c r="N29" s="181">
        <f t="shared" si="3"/>
        <v>0</v>
      </c>
      <c r="O29" s="181">
        <f t="shared" si="3"/>
        <v>0</v>
      </c>
      <c r="P29" s="181">
        <f t="shared" si="3"/>
        <v>0</v>
      </c>
      <c r="Q29" s="181">
        <f t="shared" si="3"/>
        <v>0</v>
      </c>
      <c r="R29" s="181">
        <f t="shared" ref="R29:U29" si="4">IF(R25&gt;5000000, (R26*10%), 0)</f>
        <v>0</v>
      </c>
      <c r="S29" s="181">
        <f t="shared" si="4"/>
        <v>0</v>
      </c>
      <c r="T29" s="181">
        <f t="shared" si="4"/>
        <v>0</v>
      </c>
      <c r="U29" s="182">
        <f t="shared" si="4"/>
        <v>0</v>
      </c>
    </row>
    <row r="30" spans="2:21" s="167" customFormat="1" ht="33" customHeight="1" x14ac:dyDescent="0.3">
      <c r="B30" s="477"/>
      <c r="C30" s="451" t="s">
        <v>316</v>
      </c>
      <c r="D30" s="451"/>
      <c r="E30" s="451"/>
      <c r="F30" s="181">
        <f>SUM(F28:F29)</f>
        <v>0</v>
      </c>
      <c r="G30" s="181">
        <f t="shared" ref="G30:Q30" si="5">SUM(G28:G29)</f>
        <v>0</v>
      </c>
      <c r="H30" s="181">
        <f t="shared" si="5"/>
        <v>0</v>
      </c>
      <c r="I30" s="181">
        <f t="shared" si="5"/>
        <v>0</v>
      </c>
      <c r="J30" s="181">
        <f t="shared" si="5"/>
        <v>0</v>
      </c>
      <c r="K30" s="181">
        <f t="shared" si="5"/>
        <v>0</v>
      </c>
      <c r="L30" s="181">
        <f t="shared" si="5"/>
        <v>0</v>
      </c>
      <c r="M30" s="181">
        <f t="shared" si="5"/>
        <v>0</v>
      </c>
      <c r="N30" s="181">
        <f t="shared" si="5"/>
        <v>0</v>
      </c>
      <c r="O30" s="181">
        <f t="shared" si="5"/>
        <v>0</v>
      </c>
      <c r="P30" s="181">
        <f t="shared" si="5"/>
        <v>0</v>
      </c>
      <c r="Q30" s="181">
        <f t="shared" si="5"/>
        <v>0</v>
      </c>
      <c r="R30" s="181">
        <f t="shared" ref="R30:U30" si="6">SUM(R26:R29)</f>
        <v>0</v>
      </c>
      <c r="S30" s="181">
        <f t="shared" si="6"/>
        <v>0</v>
      </c>
      <c r="T30" s="181">
        <f t="shared" si="6"/>
        <v>0</v>
      </c>
      <c r="U30" s="182">
        <f t="shared" si="6"/>
        <v>0</v>
      </c>
    </row>
    <row r="31" spans="2:21" s="167" customFormat="1" ht="33" customHeight="1" x14ac:dyDescent="0.3">
      <c r="B31" s="477"/>
      <c r="C31" s="451" t="s">
        <v>317</v>
      </c>
      <c r="D31" s="451"/>
      <c r="E31" s="451"/>
      <c r="F31" s="181">
        <f>ROUND((F30*0.04),0)</f>
        <v>0</v>
      </c>
      <c r="G31" s="181">
        <f t="shared" ref="G31:L31" si="7">ROUND((G30*0.04),0)</f>
        <v>0</v>
      </c>
      <c r="H31" s="181">
        <f t="shared" si="7"/>
        <v>0</v>
      </c>
      <c r="I31" s="181">
        <f t="shared" si="7"/>
        <v>0</v>
      </c>
      <c r="J31" s="181">
        <f t="shared" si="7"/>
        <v>0</v>
      </c>
      <c r="K31" s="181">
        <f t="shared" si="7"/>
        <v>0</v>
      </c>
      <c r="L31" s="181">
        <f t="shared" si="7"/>
        <v>0</v>
      </c>
      <c r="M31" s="181">
        <f>ROUND((M30*0.03),0)</f>
        <v>0</v>
      </c>
      <c r="N31" s="181">
        <f t="shared" ref="N31:U31" si="8">ROUND((N30*0.03),0)</f>
        <v>0</v>
      </c>
      <c r="O31" s="181">
        <f t="shared" si="8"/>
        <v>0</v>
      </c>
      <c r="P31" s="181">
        <f t="shared" si="8"/>
        <v>0</v>
      </c>
      <c r="Q31" s="181">
        <f t="shared" si="8"/>
        <v>0</v>
      </c>
      <c r="R31" s="181">
        <f t="shared" si="8"/>
        <v>0</v>
      </c>
      <c r="S31" s="181">
        <f t="shared" si="8"/>
        <v>0</v>
      </c>
      <c r="T31" s="181">
        <f t="shared" si="8"/>
        <v>0</v>
      </c>
      <c r="U31" s="182">
        <f t="shared" si="8"/>
        <v>0</v>
      </c>
    </row>
    <row r="32" spans="2:21" s="167" customFormat="1" ht="33" customHeight="1" x14ac:dyDescent="0.3">
      <c r="B32" s="477"/>
      <c r="C32" s="451" t="s">
        <v>318</v>
      </c>
      <c r="D32" s="451"/>
      <c r="E32" s="451"/>
      <c r="F32" s="181">
        <f>SUM(F30:F31)</f>
        <v>0</v>
      </c>
      <c r="G32" s="181">
        <f>SUM(G30:G31)</f>
        <v>0</v>
      </c>
      <c r="H32" s="181">
        <f>SUM(H30:H31)</f>
        <v>0</v>
      </c>
      <c r="I32" s="181">
        <f t="shared" ref="I32:U32" si="9">SUM(I30:I31)</f>
        <v>0</v>
      </c>
      <c r="J32" s="181">
        <f t="shared" si="9"/>
        <v>0</v>
      </c>
      <c r="K32" s="181">
        <f t="shared" si="9"/>
        <v>0</v>
      </c>
      <c r="L32" s="181">
        <f t="shared" si="9"/>
        <v>0</v>
      </c>
      <c r="M32" s="181">
        <f t="shared" si="9"/>
        <v>0</v>
      </c>
      <c r="N32" s="181">
        <f t="shared" si="9"/>
        <v>0</v>
      </c>
      <c r="O32" s="181">
        <f t="shared" si="9"/>
        <v>0</v>
      </c>
      <c r="P32" s="181">
        <f t="shared" si="9"/>
        <v>0</v>
      </c>
      <c r="Q32" s="181">
        <f t="shared" si="9"/>
        <v>0</v>
      </c>
      <c r="R32" s="181">
        <f t="shared" si="9"/>
        <v>0</v>
      </c>
      <c r="S32" s="181">
        <f t="shared" si="9"/>
        <v>0</v>
      </c>
      <c r="T32" s="181">
        <f t="shared" si="9"/>
        <v>0</v>
      </c>
      <c r="U32" s="182">
        <f t="shared" si="9"/>
        <v>0</v>
      </c>
    </row>
    <row r="33" spans="2:21" s="167" customFormat="1" ht="33" customHeight="1" thickBot="1" x14ac:dyDescent="0.35">
      <c r="B33" s="478"/>
      <c r="C33" s="452" t="s">
        <v>319</v>
      </c>
      <c r="D33" s="453"/>
      <c r="E33" s="453"/>
      <c r="F33" s="453"/>
      <c r="G33" s="453"/>
      <c r="H33" s="453"/>
      <c r="I33" s="453"/>
      <c r="J33" s="453"/>
      <c r="K33" s="453"/>
      <c r="L33" s="453"/>
      <c r="M33" s="453"/>
      <c r="N33" s="453"/>
      <c r="O33" s="453"/>
      <c r="P33" s="453"/>
      <c r="Q33" s="453"/>
      <c r="R33" s="453"/>
      <c r="S33" s="454"/>
      <c r="T33" s="455">
        <f>SUM(F32:U32)</f>
        <v>0</v>
      </c>
      <c r="U33" s="456"/>
    </row>
    <row r="34" spans="2:21" s="167" customFormat="1" ht="33" customHeight="1" thickBot="1" x14ac:dyDescent="0.35">
      <c r="B34" s="461"/>
      <c r="C34" s="461"/>
      <c r="D34" s="461"/>
      <c r="E34" s="461"/>
      <c r="F34" s="461"/>
      <c r="G34" s="461"/>
      <c r="H34" s="461"/>
      <c r="I34" s="461"/>
      <c r="J34" s="461"/>
      <c r="K34" s="461"/>
      <c r="L34" s="461"/>
      <c r="M34" s="461"/>
      <c r="N34" s="461"/>
      <c r="O34" s="461"/>
      <c r="P34" s="461"/>
      <c r="Q34" s="461"/>
      <c r="R34" s="461"/>
      <c r="S34" s="461"/>
      <c r="T34" s="461"/>
      <c r="U34" s="461"/>
    </row>
    <row r="35" spans="2:21" s="167" customFormat="1" ht="33" customHeight="1" x14ac:dyDescent="0.3">
      <c r="B35" s="462" t="s">
        <v>320</v>
      </c>
      <c r="C35" s="465" t="s">
        <v>321</v>
      </c>
      <c r="D35" s="466"/>
      <c r="E35" s="466"/>
      <c r="F35" s="466"/>
      <c r="G35" s="466"/>
      <c r="H35" s="466"/>
      <c r="I35" s="466"/>
      <c r="J35" s="466"/>
      <c r="K35" s="466"/>
      <c r="L35" s="466"/>
      <c r="M35" s="466"/>
      <c r="N35" s="466"/>
      <c r="O35" s="466"/>
      <c r="P35" s="466"/>
      <c r="Q35" s="466"/>
      <c r="R35" s="466"/>
      <c r="S35" s="466"/>
      <c r="T35" s="466"/>
      <c r="U35" s="467"/>
    </row>
    <row r="36" spans="2:21" s="167" customFormat="1" ht="33" customHeight="1" x14ac:dyDescent="0.3">
      <c r="B36" s="463"/>
      <c r="C36" s="468" t="s">
        <v>322</v>
      </c>
      <c r="D36" s="468"/>
      <c r="E36" s="468"/>
      <c r="F36" s="163" t="s">
        <v>288</v>
      </c>
      <c r="G36" s="163" t="s">
        <v>289</v>
      </c>
      <c r="H36" s="175" t="s">
        <v>290</v>
      </c>
      <c r="I36" s="164" t="s">
        <v>291</v>
      </c>
      <c r="J36" s="165" t="s">
        <v>292</v>
      </c>
      <c r="K36" s="165" t="s">
        <v>293</v>
      </c>
      <c r="L36" s="165" t="s">
        <v>294</v>
      </c>
      <c r="M36" s="165" t="s">
        <v>295</v>
      </c>
      <c r="N36" s="165" t="s">
        <v>296</v>
      </c>
      <c r="O36" s="165" t="s">
        <v>297</v>
      </c>
      <c r="P36" s="165" t="s">
        <v>298</v>
      </c>
      <c r="Q36" s="165" t="s">
        <v>299</v>
      </c>
      <c r="R36" s="165" t="s">
        <v>300</v>
      </c>
      <c r="S36" s="165" t="s">
        <v>301</v>
      </c>
      <c r="T36" s="165" t="s">
        <v>302</v>
      </c>
      <c r="U36" s="166" t="s">
        <v>303</v>
      </c>
    </row>
    <row r="37" spans="2:21" s="167" customFormat="1" ht="33" customHeight="1" x14ac:dyDescent="0.3">
      <c r="B37" s="463"/>
      <c r="C37" s="451" t="s">
        <v>311</v>
      </c>
      <c r="D37" s="451"/>
      <c r="E37" s="451"/>
      <c r="F37" s="181">
        <f>F23</f>
        <v>0</v>
      </c>
      <c r="G37" s="181">
        <f>G23</f>
        <v>0</v>
      </c>
      <c r="H37" s="181">
        <f t="shared" ref="H37:U37" si="10">H23</f>
        <v>0</v>
      </c>
      <c r="I37" s="181">
        <f t="shared" si="10"/>
        <v>0</v>
      </c>
      <c r="J37" s="181">
        <f t="shared" si="10"/>
        <v>0</v>
      </c>
      <c r="K37" s="181">
        <f t="shared" si="10"/>
        <v>0</v>
      </c>
      <c r="L37" s="181">
        <f t="shared" si="10"/>
        <v>0</v>
      </c>
      <c r="M37" s="181">
        <f t="shared" si="10"/>
        <v>0</v>
      </c>
      <c r="N37" s="181">
        <f t="shared" si="10"/>
        <v>0</v>
      </c>
      <c r="O37" s="181">
        <f t="shared" si="10"/>
        <v>0</v>
      </c>
      <c r="P37" s="181">
        <f t="shared" si="10"/>
        <v>0</v>
      </c>
      <c r="Q37" s="181">
        <f t="shared" si="10"/>
        <v>0</v>
      </c>
      <c r="R37" s="181">
        <f t="shared" si="10"/>
        <v>0</v>
      </c>
      <c r="S37" s="181">
        <f t="shared" si="10"/>
        <v>0</v>
      </c>
      <c r="T37" s="181">
        <f t="shared" si="10"/>
        <v>0</v>
      </c>
      <c r="U37" s="182">
        <f t="shared" si="10"/>
        <v>0</v>
      </c>
    </row>
    <row r="38" spans="2:21" s="167" customFormat="1" ht="33" customHeight="1" x14ac:dyDescent="0.3">
      <c r="B38" s="463"/>
      <c r="C38" s="451" t="s">
        <v>312</v>
      </c>
      <c r="D38" s="451"/>
      <c r="E38" s="451"/>
      <c r="F38" s="181">
        <f>F15</f>
        <v>0</v>
      </c>
      <c r="G38" s="181">
        <f>G15</f>
        <v>0</v>
      </c>
      <c r="H38" s="181">
        <f t="shared" ref="H38:U38" si="11">H15</f>
        <v>0</v>
      </c>
      <c r="I38" s="181">
        <f t="shared" si="11"/>
        <v>0</v>
      </c>
      <c r="J38" s="181">
        <f t="shared" si="11"/>
        <v>0</v>
      </c>
      <c r="K38" s="181">
        <f t="shared" si="11"/>
        <v>0</v>
      </c>
      <c r="L38" s="181">
        <f t="shared" si="11"/>
        <v>0</v>
      </c>
      <c r="M38" s="181">
        <f t="shared" si="11"/>
        <v>0</v>
      </c>
      <c r="N38" s="181">
        <f t="shared" si="11"/>
        <v>0</v>
      </c>
      <c r="O38" s="181">
        <f t="shared" si="11"/>
        <v>0</v>
      </c>
      <c r="P38" s="181">
        <f t="shared" si="11"/>
        <v>0</v>
      </c>
      <c r="Q38" s="181">
        <f t="shared" si="11"/>
        <v>0</v>
      </c>
      <c r="R38" s="181">
        <f t="shared" si="11"/>
        <v>0</v>
      </c>
      <c r="S38" s="181">
        <f t="shared" si="11"/>
        <v>0</v>
      </c>
      <c r="T38" s="181">
        <f t="shared" si="11"/>
        <v>0</v>
      </c>
      <c r="U38" s="182">
        <f t="shared" si="11"/>
        <v>0</v>
      </c>
    </row>
    <row r="39" spans="2:21" s="167" customFormat="1" ht="33" customHeight="1" x14ac:dyDescent="0.3">
      <c r="B39" s="463"/>
      <c r="C39" s="451" t="s">
        <v>313</v>
      </c>
      <c r="D39" s="451"/>
      <c r="E39" s="451"/>
      <c r="F39" s="181">
        <f>SUM(F37:F38)</f>
        <v>0</v>
      </c>
      <c r="G39" s="181">
        <f>SUM(G37:G38)</f>
        <v>0</v>
      </c>
      <c r="H39" s="181">
        <f>SUM(H37:H38)</f>
        <v>0</v>
      </c>
      <c r="I39" s="181">
        <f t="shared" ref="I39:U39" si="12">SUM(I37:I38)</f>
        <v>0</v>
      </c>
      <c r="J39" s="181">
        <f t="shared" si="12"/>
        <v>0</v>
      </c>
      <c r="K39" s="181">
        <f t="shared" si="12"/>
        <v>0</v>
      </c>
      <c r="L39" s="181">
        <f t="shared" si="12"/>
        <v>0</v>
      </c>
      <c r="M39" s="181">
        <f t="shared" si="12"/>
        <v>0</v>
      </c>
      <c r="N39" s="181">
        <f t="shared" si="12"/>
        <v>0</v>
      </c>
      <c r="O39" s="181">
        <f t="shared" si="12"/>
        <v>0</v>
      </c>
      <c r="P39" s="181">
        <f t="shared" si="12"/>
        <v>0</v>
      </c>
      <c r="Q39" s="181">
        <f t="shared" si="12"/>
        <v>0</v>
      </c>
      <c r="R39" s="181">
        <f t="shared" si="12"/>
        <v>0</v>
      </c>
      <c r="S39" s="181">
        <f t="shared" si="12"/>
        <v>0</v>
      </c>
      <c r="T39" s="181">
        <f t="shared" si="12"/>
        <v>0</v>
      </c>
      <c r="U39" s="182">
        <f t="shared" si="12"/>
        <v>0</v>
      </c>
    </row>
    <row r="40" spans="2:21" s="167" customFormat="1" ht="33" customHeight="1" x14ac:dyDescent="0.3">
      <c r="B40" s="463"/>
      <c r="C40" s="451" t="s">
        <v>314</v>
      </c>
      <c r="D40" s="451"/>
      <c r="E40" s="451"/>
      <c r="F40" s="181">
        <f>IF(F22="Old tax",(IF(J10="Male",Calc!F8,IF(J10="Female",Calc!F9,IF(J10="Senior Citizen", Calc!F10, 0)))),(IF(J10="Male",Calc!W8,IF(J10="Female",Calc!W9,IF(J10="Senior Citizen", Calc!W10, 0)))))</f>
        <v>0</v>
      </c>
      <c r="G40" s="181">
        <f>IF(G22="Old tax",(IF(J10="Male",Calc!G8,IF(J10="Female",Calc!G9,IF(J10="Senior Citizen", Calc!G10, 0)))),(IF(J10="Male",Calc!X8,IF(J10="Female",Calc!X9,IF(J10="Senior Citizen", Calc!X10, 0)))))</f>
        <v>0</v>
      </c>
      <c r="H40" s="181">
        <f>IF(H22="Old tax",(IF(J10="Male",Calc!H8,IF(J10="Female",Calc!H9,IF(J10="Senior Citizen", Calc!H10, 0)))),(IF(J10="Male",Calc!Y8,IF(J10="Female",Calc!Y9,IF(J10="Senior Citizen", Calc!Y10, 0)))))</f>
        <v>0</v>
      </c>
      <c r="I40" s="181">
        <f>IF(I22="Old tax",(IF(J10="Male",Calc!I8,IF(J10="Female",Calc!I9,IF(J10="Senior Citizen", Calc!I10, 0)))),(IF(J10="Male",Calc!Z8,IF(J10="Female",Calc!Z9,IF(J10="Senior Citizen", Calc!Z10, 0)))))</f>
        <v>0</v>
      </c>
      <c r="J40" s="181">
        <f>IF(J22="Old tax",(IF(J10="Male",Calc!J8,IF(J10="Female",Calc!J9,IF(J10="Senior Citizen", Calc!J10, 0)))),(IF(J10="Male",Calc!AA8,IF(J10="Female",Calc!AA9,IF(J10="Senior Citizen", Calc!AA10, 0)))))</f>
        <v>0</v>
      </c>
      <c r="K40" s="181">
        <f>IF($J$10="Male",Calc!K8,IF($J$10="Female",Calc!K9,IF($J$10="Senior Citizen",Calc!K10, 0)))</f>
        <v>0</v>
      </c>
      <c r="L40" s="181">
        <f>IF($J$10="Male",Calc!L8,IF($J$10="Female",Calc!L9,IF($J$10="Senior Citizen",Calc!L10, 0)))</f>
        <v>0</v>
      </c>
      <c r="M40" s="181">
        <f>IF($J$10="Male",Calc!M8,IF($J$10="Female",Calc!M9,IF($J$10="Senior Citizen",Calc!M10, 0)))</f>
        <v>0</v>
      </c>
      <c r="N40" s="181">
        <f>IF($J$10="Male",Calc!N8,IF($J$10="Female",Calc!N9,IF($J$10="Senior Citizen",Calc!N10, 0)))</f>
        <v>0</v>
      </c>
      <c r="O40" s="181">
        <f>IF($J$10="Male",Calc!O8,IF($J$10="Female",Calc!O9,IF($J$10="Senior Citizen",Calc!O10, 0)))</f>
        <v>0</v>
      </c>
      <c r="P40" s="181">
        <f>IF($J$10="Male",Calc!P8,IF($J$10="Female",Calc!P9,IF($J$10="Senior Citizen",Calc!P10, 0)))</f>
        <v>0</v>
      </c>
      <c r="Q40" s="181">
        <f>IF($J$10="Male",Calc!Q8,IF($J$10="Female",Calc!Q9,IF($J$10="Senior Citizen",Calc!Q10, 0)))</f>
        <v>0</v>
      </c>
      <c r="R40" s="181">
        <f>IF($J$10="Male",Calc!R8,IF($J$10="Female",Calc!R9,IF($J$10="Senior Citizen",Calc!R10, 0)))</f>
        <v>0</v>
      </c>
      <c r="S40" s="181">
        <f>IF($J$10="Male",Calc!S8,IF($J$10="Female",Calc!S9,IF($J$10="Senior Citizen",Calc!S10, 0)))</f>
        <v>0</v>
      </c>
      <c r="T40" s="181">
        <f>IF($J$10="Male",Calc!T8,IF($J$10="Female",Calc!T9,IF($J$10="Senior Citizen",Calc!T10, 0)))</f>
        <v>0</v>
      </c>
      <c r="U40" s="182">
        <f>IF($J$10="Male",Calc!U8,IF($J$10="Female",Calc!U9,IF($J$10="Senior Citizen",Calc!U10, 0)))</f>
        <v>0</v>
      </c>
    </row>
    <row r="41" spans="2:21" s="167" customFormat="1" ht="33" customHeight="1" x14ac:dyDescent="0.3">
      <c r="B41" s="463"/>
      <c r="C41" s="469" t="s">
        <v>479</v>
      </c>
      <c r="D41" s="470"/>
      <c r="E41" s="471"/>
      <c r="F41" s="181">
        <f>IF(F39&gt;750000,0,IF((F40-25000)&lt;0,F40,25000))</f>
        <v>0</v>
      </c>
      <c r="G41" s="181">
        <f>IF(G39&gt;700000,0,IF((G40-25000)&lt;0,G40,25000))</f>
        <v>0</v>
      </c>
      <c r="H41" s="181">
        <f>IF(H39&gt;500000,0,IF((H40-12500)&lt;0,H40,12500))</f>
        <v>0</v>
      </c>
      <c r="I41" s="181">
        <f>IF(I39&gt;500000,0,IF((I40-12500)&lt;0,I40,12500))</f>
        <v>0</v>
      </c>
      <c r="J41" s="181">
        <f>IF(J39&gt;500000,0,IF((J40-12500)&lt;0,J40,12500))</f>
        <v>0</v>
      </c>
      <c r="K41" s="181">
        <f>IF(K39&gt;500000,0,IF((K40-12500)&lt;0,K40,12500))</f>
        <v>0</v>
      </c>
      <c r="L41" s="181">
        <f>IF(L39&gt;350000,0,IF((L40-2500)&lt;0,L40,2500))</f>
        <v>0</v>
      </c>
      <c r="M41" s="181">
        <f>IF(M39&gt;350000,0,IF((M40-2500)&lt;0,M40,2500))</f>
        <v>0</v>
      </c>
      <c r="N41" s="181">
        <f>IF(N39&gt;500000,0,IF((N40-5000)&lt;0,N40,5000))</f>
        <v>0</v>
      </c>
      <c r="O41" s="181">
        <f>IF(O39&gt;500000,0,IF((O40-2000)&lt;0,O40,2000))</f>
        <v>0</v>
      </c>
      <c r="P41" s="181">
        <f>IF(P39&gt;500000,0,IF((P40-2000)&lt;0,P40,2000))</f>
        <v>0</v>
      </c>
      <c r="Q41" s="181">
        <f>IF(Q39&gt;500000,0,IF((Q40-2000)&lt;0,Q40,2000))</f>
        <v>0</v>
      </c>
      <c r="R41" s="181"/>
      <c r="S41" s="181"/>
      <c r="T41" s="181"/>
      <c r="U41" s="182"/>
    </row>
    <row r="42" spans="2:21" s="167" customFormat="1" ht="33" customHeight="1" x14ac:dyDescent="0.3">
      <c r="B42" s="463"/>
      <c r="C42" s="469" t="s">
        <v>480</v>
      </c>
      <c r="D42" s="470"/>
      <c r="E42" s="471"/>
      <c r="F42" s="181">
        <f>F40-F41</f>
        <v>0</v>
      </c>
      <c r="G42" s="181">
        <f t="shared" ref="G42:Q42" si="13">G40-G41</f>
        <v>0</v>
      </c>
      <c r="H42" s="181">
        <f t="shared" si="13"/>
        <v>0</v>
      </c>
      <c r="I42" s="181">
        <f t="shared" si="13"/>
        <v>0</v>
      </c>
      <c r="J42" s="181">
        <f t="shared" si="13"/>
        <v>0</v>
      </c>
      <c r="K42" s="181">
        <f t="shared" si="13"/>
        <v>0</v>
      </c>
      <c r="L42" s="181">
        <f t="shared" si="13"/>
        <v>0</v>
      </c>
      <c r="M42" s="181">
        <f t="shared" si="13"/>
        <v>0</v>
      </c>
      <c r="N42" s="181">
        <f t="shared" si="13"/>
        <v>0</v>
      </c>
      <c r="O42" s="181">
        <f t="shared" si="13"/>
        <v>0</v>
      </c>
      <c r="P42" s="181">
        <f t="shared" si="13"/>
        <v>0</v>
      </c>
      <c r="Q42" s="181">
        <f t="shared" si="13"/>
        <v>0</v>
      </c>
      <c r="R42" s="181"/>
      <c r="S42" s="181"/>
      <c r="T42" s="181"/>
      <c r="U42" s="182"/>
    </row>
    <row r="43" spans="2:21" s="167" customFormat="1" ht="33" customHeight="1" x14ac:dyDescent="0.3">
      <c r="B43" s="463"/>
      <c r="C43" s="451" t="s">
        <v>315</v>
      </c>
      <c r="D43" s="451"/>
      <c r="E43" s="451"/>
      <c r="F43" s="181">
        <f>IF(F39&gt;5000000, (F26*10%), 0)</f>
        <v>0</v>
      </c>
      <c r="G43" s="181">
        <f t="shared" ref="G43:U43" si="14">IF(G39&gt;5000000, (G26*10%), 0)</f>
        <v>0</v>
      </c>
      <c r="H43" s="181">
        <f t="shared" si="14"/>
        <v>0</v>
      </c>
      <c r="I43" s="181">
        <f t="shared" si="14"/>
        <v>0</v>
      </c>
      <c r="J43" s="181">
        <f t="shared" si="14"/>
        <v>0</v>
      </c>
      <c r="K43" s="181">
        <f t="shared" si="14"/>
        <v>0</v>
      </c>
      <c r="L43" s="181">
        <f t="shared" si="14"/>
        <v>0</v>
      </c>
      <c r="M43" s="181">
        <f t="shared" si="14"/>
        <v>0</v>
      </c>
      <c r="N43" s="181">
        <f t="shared" si="14"/>
        <v>0</v>
      </c>
      <c r="O43" s="181">
        <f t="shared" si="14"/>
        <v>0</v>
      </c>
      <c r="P43" s="181">
        <f t="shared" si="14"/>
        <v>0</v>
      </c>
      <c r="Q43" s="181">
        <f t="shared" si="14"/>
        <v>0</v>
      </c>
      <c r="R43" s="181">
        <f t="shared" si="14"/>
        <v>0</v>
      </c>
      <c r="S43" s="181">
        <f t="shared" si="14"/>
        <v>0</v>
      </c>
      <c r="T43" s="181">
        <f t="shared" si="14"/>
        <v>0</v>
      </c>
      <c r="U43" s="182">
        <f t="shared" si="14"/>
        <v>0</v>
      </c>
    </row>
    <row r="44" spans="2:21" s="167" customFormat="1" ht="33" customHeight="1" x14ac:dyDescent="0.3">
      <c r="B44" s="463"/>
      <c r="C44" s="451" t="s">
        <v>316</v>
      </c>
      <c r="D44" s="451"/>
      <c r="E44" s="451"/>
      <c r="F44" s="181">
        <f t="shared" ref="F44" si="15">SUM(F42:F43)</f>
        <v>0</v>
      </c>
      <c r="G44" s="181">
        <f t="shared" ref="G44" si="16">SUM(G42:G43)</f>
        <v>0</v>
      </c>
      <c r="H44" s="181">
        <f t="shared" ref="H44" si="17">SUM(H42:H43)</f>
        <v>0</v>
      </c>
      <c r="I44" s="181">
        <f t="shared" ref="I44" si="18">SUM(I42:I43)</f>
        <v>0</v>
      </c>
      <c r="J44" s="181">
        <f t="shared" ref="J44" si="19">SUM(J42:J43)</f>
        <v>0</v>
      </c>
      <c r="K44" s="181">
        <f t="shared" ref="K44" si="20">SUM(K42:K43)</f>
        <v>0</v>
      </c>
      <c r="L44" s="181">
        <f t="shared" ref="L44" si="21">SUM(L42:L43)</f>
        <v>0</v>
      </c>
      <c r="M44" s="181">
        <f t="shared" ref="M44" si="22">SUM(M42:M43)</f>
        <v>0</v>
      </c>
      <c r="N44" s="181">
        <f t="shared" ref="N44" si="23">SUM(N42:N43)</f>
        <v>0</v>
      </c>
      <c r="O44" s="181">
        <f t="shared" ref="O44" si="24">SUM(O42:O43)</f>
        <v>0</v>
      </c>
      <c r="P44" s="181">
        <f t="shared" ref="P44" si="25">SUM(P42:P43)</f>
        <v>0</v>
      </c>
      <c r="Q44" s="181">
        <f t="shared" ref="Q44" si="26">SUM(Q42:Q43)</f>
        <v>0</v>
      </c>
      <c r="R44" s="181">
        <f t="shared" ref="R44:U44" si="27">ROUND(SUM(R40:R43),0)</f>
        <v>0</v>
      </c>
      <c r="S44" s="181">
        <f>ROUND(SUM(S40:S43),0)</f>
        <v>0</v>
      </c>
      <c r="T44" s="181">
        <f t="shared" si="27"/>
        <v>0</v>
      </c>
      <c r="U44" s="182">
        <f t="shared" si="27"/>
        <v>0</v>
      </c>
    </row>
    <row r="45" spans="2:21" s="167" customFormat="1" ht="33" customHeight="1" x14ac:dyDescent="0.3">
      <c r="B45" s="463"/>
      <c r="C45" s="451" t="s">
        <v>317</v>
      </c>
      <c r="D45" s="451"/>
      <c r="E45" s="451"/>
      <c r="F45" s="181">
        <f t="shared" ref="F45:L45" si="28">ROUND((F44*0.04),0)</f>
        <v>0</v>
      </c>
      <c r="G45" s="181">
        <f t="shared" si="28"/>
        <v>0</v>
      </c>
      <c r="H45" s="181">
        <f t="shared" si="28"/>
        <v>0</v>
      </c>
      <c r="I45" s="181">
        <f t="shared" si="28"/>
        <v>0</v>
      </c>
      <c r="J45" s="181">
        <f>ROUND((J44*0.04),0)</f>
        <v>0</v>
      </c>
      <c r="K45" s="181">
        <f t="shared" si="28"/>
        <v>0</v>
      </c>
      <c r="L45" s="181">
        <f t="shared" si="28"/>
        <v>0</v>
      </c>
      <c r="M45" s="181">
        <f>ROUND((M44*0.03),0)</f>
        <v>0</v>
      </c>
      <c r="N45" s="181">
        <f>ROUND((N44*0.03),0)</f>
        <v>0</v>
      </c>
      <c r="O45" s="181">
        <f>ROUND((O44*0.03),0)</f>
        <v>0</v>
      </c>
      <c r="P45" s="181">
        <f t="shared" ref="P45:U45" si="29">ROUND((P44*0.03),0)</f>
        <v>0</v>
      </c>
      <c r="Q45" s="181">
        <f>ROUND((Q44*0.03),0)</f>
        <v>0</v>
      </c>
      <c r="R45" s="181">
        <f t="shared" si="29"/>
        <v>0</v>
      </c>
      <c r="S45" s="181">
        <f t="shared" si="29"/>
        <v>0</v>
      </c>
      <c r="T45" s="181">
        <f t="shared" si="29"/>
        <v>0</v>
      </c>
      <c r="U45" s="182">
        <f t="shared" si="29"/>
        <v>0</v>
      </c>
    </row>
    <row r="46" spans="2:21" s="167" customFormat="1" ht="32.25" customHeight="1" x14ac:dyDescent="0.3">
      <c r="B46" s="463"/>
      <c r="C46" s="451" t="s">
        <v>318</v>
      </c>
      <c r="D46" s="451"/>
      <c r="E46" s="451"/>
      <c r="F46" s="181">
        <f>SUM(F44:F45)</f>
        <v>0</v>
      </c>
      <c r="G46" s="181">
        <f>SUM(G44:G45)</f>
        <v>0</v>
      </c>
      <c r="H46" s="181">
        <f>SUM(H44:H45)</f>
        <v>0</v>
      </c>
      <c r="I46" s="181">
        <f t="shared" ref="I46:U46" si="30">SUM(I44:I45)</f>
        <v>0</v>
      </c>
      <c r="J46" s="181">
        <f t="shared" si="30"/>
        <v>0</v>
      </c>
      <c r="K46" s="181">
        <f t="shared" si="30"/>
        <v>0</v>
      </c>
      <c r="L46" s="181">
        <f t="shared" si="30"/>
        <v>0</v>
      </c>
      <c r="M46" s="181">
        <f t="shared" si="30"/>
        <v>0</v>
      </c>
      <c r="N46" s="181">
        <f t="shared" si="30"/>
        <v>0</v>
      </c>
      <c r="O46" s="181">
        <f t="shared" si="30"/>
        <v>0</v>
      </c>
      <c r="P46" s="181">
        <f t="shared" si="30"/>
        <v>0</v>
      </c>
      <c r="Q46" s="181">
        <f t="shared" si="30"/>
        <v>0</v>
      </c>
      <c r="R46" s="181">
        <f t="shared" si="30"/>
        <v>0</v>
      </c>
      <c r="S46" s="181">
        <f t="shared" si="30"/>
        <v>0</v>
      </c>
      <c r="T46" s="181">
        <f t="shared" si="30"/>
        <v>0</v>
      </c>
      <c r="U46" s="182">
        <f t="shared" si="30"/>
        <v>0</v>
      </c>
    </row>
    <row r="47" spans="2:21" s="167" customFormat="1" ht="33" customHeight="1" thickBot="1" x14ac:dyDescent="0.35">
      <c r="B47" s="464"/>
      <c r="C47" s="452" t="s">
        <v>323</v>
      </c>
      <c r="D47" s="453"/>
      <c r="E47" s="453"/>
      <c r="F47" s="453"/>
      <c r="G47" s="453"/>
      <c r="H47" s="453"/>
      <c r="I47" s="453"/>
      <c r="J47" s="453"/>
      <c r="K47" s="453"/>
      <c r="L47" s="453"/>
      <c r="M47" s="453"/>
      <c r="N47" s="453"/>
      <c r="O47" s="453"/>
      <c r="P47" s="453"/>
      <c r="Q47" s="453"/>
      <c r="R47" s="453"/>
      <c r="S47" s="454"/>
      <c r="T47" s="455">
        <f>SUM(F46:U46)</f>
        <v>0</v>
      </c>
      <c r="U47" s="456"/>
    </row>
    <row r="48" spans="2:21" s="167" customFormat="1" ht="33" customHeight="1" thickBot="1" x14ac:dyDescent="0.35">
      <c r="B48" s="457"/>
      <c r="C48" s="457"/>
      <c r="D48" s="457"/>
      <c r="E48" s="457"/>
      <c r="F48" s="457"/>
      <c r="G48" s="457"/>
      <c r="H48" s="457"/>
      <c r="I48" s="457"/>
      <c r="J48" s="457"/>
      <c r="K48" s="457"/>
      <c r="L48" s="457"/>
      <c r="M48" s="457"/>
      <c r="N48" s="457"/>
      <c r="O48" s="457"/>
    </row>
    <row r="49" spans="2:21" s="167" customFormat="1" ht="84.75" customHeight="1" thickBot="1" x14ac:dyDescent="0.35">
      <c r="B49" s="186" t="s">
        <v>324</v>
      </c>
      <c r="C49" s="458" t="s">
        <v>325</v>
      </c>
      <c r="D49" s="458"/>
      <c r="E49" s="458"/>
      <c r="F49" s="458"/>
      <c r="G49" s="458"/>
      <c r="H49" s="458"/>
      <c r="I49" s="458"/>
      <c r="J49" s="458"/>
      <c r="K49" s="458"/>
      <c r="L49" s="458"/>
      <c r="M49" s="458"/>
      <c r="N49" s="458"/>
      <c r="O49" s="458"/>
      <c r="P49" s="458"/>
      <c r="Q49" s="458"/>
      <c r="R49" s="458"/>
      <c r="S49" s="458"/>
      <c r="T49" s="459">
        <f>IF(T47&gt;=T33,0,T33-T47)</f>
        <v>0</v>
      </c>
      <c r="U49" s="460"/>
    </row>
    <row r="50" spans="2:21" s="167" customFormat="1" ht="33" customHeight="1" x14ac:dyDescent="0.3">
      <c r="C50" s="187"/>
      <c r="D50" s="187"/>
      <c r="E50" s="188"/>
      <c r="F50" s="188"/>
      <c r="G50" s="188"/>
      <c r="H50" s="188"/>
      <c r="I50" s="188"/>
      <c r="J50" s="188"/>
      <c r="K50" s="189"/>
      <c r="L50" s="189"/>
      <c r="M50" s="189"/>
      <c r="N50" s="189"/>
      <c r="O50" s="189"/>
    </row>
    <row r="51" spans="2:21" ht="13.2" x14ac:dyDescent="0.25">
      <c r="B51" s="450" t="s">
        <v>326</v>
      </c>
      <c r="C51" s="450"/>
      <c r="D51" s="450"/>
      <c r="E51" s="450"/>
      <c r="F51" s="450"/>
      <c r="G51" s="450"/>
      <c r="H51" s="450"/>
      <c r="I51" s="450"/>
      <c r="J51" s="450"/>
      <c r="K51" s="450"/>
      <c r="L51" s="450"/>
      <c r="M51" s="450"/>
      <c r="N51" s="450"/>
      <c r="O51" s="450"/>
      <c r="P51" s="450"/>
      <c r="Q51" s="450"/>
      <c r="R51" s="450"/>
      <c r="S51" s="450"/>
      <c r="T51" s="450"/>
      <c r="U51" s="450"/>
    </row>
    <row r="52" spans="2:21" ht="15.6" x14ac:dyDescent="0.3"/>
    <row r="53" spans="2:21" ht="15.6" x14ac:dyDescent="0.3"/>
    <row r="54" spans="2:21" ht="15.6" x14ac:dyDescent="0.3"/>
    <row r="55" spans="2:21" ht="36.75" customHeight="1" x14ac:dyDescent="0.3"/>
    <row r="56" spans="2:21" ht="15.6" x14ac:dyDescent="0.3"/>
    <row r="57" spans="2:21" ht="15.6" hidden="1" x14ac:dyDescent="0.3"/>
    <row r="58" spans="2:21" ht="15.6" hidden="1" x14ac:dyDescent="0.3"/>
    <row r="59" spans="2:21" ht="15.6" hidden="1" x14ac:dyDescent="0.3"/>
    <row r="60" spans="2:21" ht="15.6" hidden="1" x14ac:dyDescent="0.3"/>
    <row r="61" spans="2:21" ht="15.6" hidden="1" x14ac:dyDescent="0.3"/>
    <row r="62" spans="2:21" ht="15.6" hidden="1" x14ac:dyDescent="0.3"/>
    <row r="63" spans="2:21" ht="15.6" hidden="1" x14ac:dyDescent="0.3"/>
    <row r="64" spans="2:21" ht="15.6" hidden="1" x14ac:dyDescent="0.3"/>
    <row r="65" ht="15.6" x14ac:dyDescent="0.3"/>
    <row r="66" ht="15.6" x14ac:dyDescent="0.3"/>
    <row r="67" ht="15.6" x14ac:dyDescent="0.3"/>
  </sheetData>
  <sheetProtection algorithmName="SHA-512" hashValue="OTWBDbaboZz9sdqFIe3wIsF/macQeDOTEqnKidKau16f1YNreJguoAzyiO2u962cHvgMKhqgBOwZZsSGEhUcmQ==" saltValue="E5WKl5JvkMmUibsr0nauag==" spinCount="100000" sheet="1" selectLockedCells="1"/>
  <protectedRanges>
    <protectedRange sqref="J16:O19" name="Range4"/>
    <protectedRange sqref="H14 P14" name="Range3"/>
    <protectedRange sqref="J10 O11" name="Range2"/>
    <protectedRange sqref="J6:O9" name="Range1"/>
    <protectedRange sqref="J15:O15 R15:U15" name="Range4_1"/>
    <protectedRange sqref="I14:O14 Q14:U14" name="Range3_1"/>
  </protectedRanges>
  <mergeCells count="62">
    <mergeCell ref="B6:B10"/>
    <mergeCell ref="C6:I6"/>
    <mergeCell ref="J6:U6"/>
    <mergeCell ref="C7:I7"/>
    <mergeCell ref="J7:U7"/>
    <mergeCell ref="C8:I8"/>
    <mergeCell ref="J8:U8"/>
    <mergeCell ref="C9:I9"/>
    <mergeCell ref="J9:U9"/>
    <mergeCell ref="C10:I10"/>
    <mergeCell ref="J10:U10"/>
    <mergeCell ref="B1:U1"/>
    <mergeCell ref="B2:U2"/>
    <mergeCell ref="B3:O3"/>
    <mergeCell ref="B4:U4"/>
    <mergeCell ref="B5:O5"/>
    <mergeCell ref="C27:E27"/>
    <mergeCell ref="C11:O11"/>
    <mergeCell ref="B12:B16"/>
    <mergeCell ref="C12:U12"/>
    <mergeCell ref="C13:E13"/>
    <mergeCell ref="C14:E14"/>
    <mergeCell ref="C15:E15"/>
    <mergeCell ref="C16:S16"/>
    <mergeCell ref="T16:U16"/>
    <mergeCell ref="C28:E28"/>
    <mergeCell ref="B17:O17"/>
    <mergeCell ref="B18:U18"/>
    <mergeCell ref="B20:B33"/>
    <mergeCell ref="C20:U20"/>
    <mergeCell ref="C21:E21"/>
    <mergeCell ref="C22:E22"/>
    <mergeCell ref="C23:E23"/>
    <mergeCell ref="C24:E24"/>
    <mergeCell ref="C25:E25"/>
    <mergeCell ref="C26:E26"/>
    <mergeCell ref="C29:E29"/>
    <mergeCell ref="C30:E30"/>
    <mergeCell ref="C31:E31"/>
    <mergeCell ref="C32:E32"/>
    <mergeCell ref="C33:S33"/>
    <mergeCell ref="T33:U33"/>
    <mergeCell ref="B34:U34"/>
    <mergeCell ref="B35:B47"/>
    <mergeCell ref="C35:U35"/>
    <mergeCell ref="C36:E36"/>
    <mergeCell ref="C37:E37"/>
    <mergeCell ref="C38:E38"/>
    <mergeCell ref="C39:E39"/>
    <mergeCell ref="C40:E40"/>
    <mergeCell ref="C43:E43"/>
    <mergeCell ref="C41:E41"/>
    <mergeCell ref="C42:E42"/>
    <mergeCell ref="C44:E44"/>
    <mergeCell ref="B51:U51"/>
    <mergeCell ref="C45:E45"/>
    <mergeCell ref="C46:E46"/>
    <mergeCell ref="C47:S47"/>
    <mergeCell ref="T47:U47"/>
    <mergeCell ref="B48:O48"/>
    <mergeCell ref="C49:S49"/>
    <mergeCell ref="T49:U49"/>
  </mergeCells>
  <dataValidations count="5">
    <dataValidation type="list" allowBlank="1" showInputMessage="1" showErrorMessage="1" sqref="WVR983054:WWC983054 JF10:JQ10 TB10:TM10 ACX10:ADI10 AMT10:ANE10 AWP10:AXA10 BGL10:BGW10 BQH10:BQS10 CAD10:CAO10 CJZ10:CKK10 CTV10:CUG10 DDR10:DEC10 DNN10:DNY10 DXJ10:DXU10 EHF10:EHQ10 ERB10:ERM10 FAX10:FBI10 FKT10:FLE10 FUP10:FVA10 GEL10:GEW10 GOH10:GOS10 GYD10:GYO10 HHZ10:HIK10 HRV10:HSG10 IBR10:ICC10 ILN10:ILY10 IVJ10:IVU10 JFF10:JFQ10 JPB10:JPM10 JYX10:JZI10 KIT10:KJE10 KSP10:KTA10 LCL10:LCW10 LMH10:LMS10 LWD10:LWO10 MFZ10:MGK10 MPV10:MQG10 MZR10:NAC10 NJN10:NJY10 NTJ10:NTU10 ODF10:ODQ10 ONB10:ONM10 OWX10:OXI10 PGT10:PHE10 PQP10:PRA10 QAL10:QAW10 QKH10:QKS10 QUD10:QUO10 RDZ10:REK10 RNV10:ROG10 RXR10:RYC10 SHN10:SHY10 SRJ10:SRU10 TBF10:TBQ10 TLB10:TLM10 TUX10:TVI10 UET10:UFE10 UOP10:UPA10 UYL10:UYW10 VIH10:VIS10 VSD10:VSO10 WBZ10:WCK10 WLV10:WMG10 WVR10:WWC10 J65550:U65550 JF65550:JQ65550 TB65550:TM65550 ACX65550:ADI65550 AMT65550:ANE65550 AWP65550:AXA65550 BGL65550:BGW65550 BQH65550:BQS65550 CAD65550:CAO65550 CJZ65550:CKK65550 CTV65550:CUG65550 DDR65550:DEC65550 DNN65550:DNY65550 DXJ65550:DXU65550 EHF65550:EHQ65550 ERB65550:ERM65550 FAX65550:FBI65550 FKT65550:FLE65550 FUP65550:FVA65550 GEL65550:GEW65550 GOH65550:GOS65550 GYD65550:GYO65550 HHZ65550:HIK65550 HRV65550:HSG65550 IBR65550:ICC65550 ILN65550:ILY65550 IVJ65550:IVU65550 JFF65550:JFQ65550 JPB65550:JPM65550 JYX65550:JZI65550 KIT65550:KJE65550 KSP65550:KTA65550 LCL65550:LCW65550 LMH65550:LMS65550 LWD65550:LWO65550 MFZ65550:MGK65550 MPV65550:MQG65550 MZR65550:NAC65550 NJN65550:NJY65550 NTJ65550:NTU65550 ODF65550:ODQ65550 ONB65550:ONM65550 OWX65550:OXI65550 PGT65550:PHE65550 PQP65550:PRA65550 QAL65550:QAW65550 QKH65550:QKS65550 QUD65550:QUO65550 RDZ65550:REK65550 RNV65550:ROG65550 RXR65550:RYC65550 SHN65550:SHY65550 SRJ65550:SRU65550 TBF65550:TBQ65550 TLB65550:TLM65550 TUX65550:TVI65550 UET65550:UFE65550 UOP65550:UPA65550 UYL65550:UYW65550 VIH65550:VIS65550 VSD65550:VSO65550 WBZ65550:WCK65550 WLV65550:WMG65550 WVR65550:WWC65550 J131086:U131086 JF131086:JQ131086 TB131086:TM131086 ACX131086:ADI131086 AMT131086:ANE131086 AWP131086:AXA131086 BGL131086:BGW131086 BQH131086:BQS131086 CAD131086:CAO131086 CJZ131086:CKK131086 CTV131086:CUG131086 DDR131086:DEC131086 DNN131086:DNY131086 DXJ131086:DXU131086 EHF131086:EHQ131086 ERB131086:ERM131086 FAX131086:FBI131086 FKT131086:FLE131086 FUP131086:FVA131086 GEL131086:GEW131086 GOH131086:GOS131086 GYD131086:GYO131086 HHZ131086:HIK131086 HRV131086:HSG131086 IBR131086:ICC131086 ILN131086:ILY131086 IVJ131086:IVU131086 JFF131086:JFQ131086 JPB131086:JPM131086 JYX131086:JZI131086 KIT131086:KJE131086 KSP131086:KTA131086 LCL131086:LCW131086 LMH131086:LMS131086 LWD131086:LWO131086 MFZ131086:MGK131086 MPV131086:MQG131086 MZR131086:NAC131086 NJN131086:NJY131086 NTJ131086:NTU131086 ODF131086:ODQ131086 ONB131086:ONM131086 OWX131086:OXI131086 PGT131086:PHE131086 PQP131086:PRA131086 QAL131086:QAW131086 QKH131086:QKS131086 QUD131086:QUO131086 RDZ131086:REK131086 RNV131086:ROG131086 RXR131086:RYC131086 SHN131086:SHY131086 SRJ131086:SRU131086 TBF131086:TBQ131086 TLB131086:TLM131086 TUX131086:TVI131086 UET131086:UFE131086 UOP131086:UPA131086 UYL131086:UYW131086 VIH131086:VIS131086 VSD131086:VSO131086 WBZ131086:WCK131086 WLV131086:WMG131086 WVR131086:WWC131086 J196622:U196622 JF196622:JQ196622 TB196622:TM196622 ACX196622:ADI196622 AMT196622:ANE196622 AWP196622:AXA196622 BGL196622:BGW196622 BQH196622:BQS196622 CAD196622:CAO196622 CJZ196622:CKK196622 CTV196622:CUG196622 DDR196622:DEC196622 DNN196622:DNY196622 DXJ196622:DXU196622 EHF196622:EHQ196622 ERB196622:ERM196622 FAX196622:FBI196622 FKT196622:FLE196622 FUP196622:FVA196622 GEL196622:GEW196622 GOH196622:GOS196622 GYD196622:GYO196622 HHZ196622:HIK196622 HRV196622:HSG196622 IBR196622:ICC196622 ILN196622:ILY196622 IVJ196622:IVU196622 JFF196622:JFQ196622 JPB196622:JPM196622 JYX196622:JZI196622 KIT196622:KJE196622 KSP196622:KTA196622 LCL196622:LCW196622 LMH196622:LMS196622 LWD196622:LWO196622 MFZ196622:MGK196622 MPV196622:MQG196622 MZR196622:NAC196622 NJN196622:NJY196622 NTJ196622:NTU196622 ODF196622:ODQ196622 ONB196622:ONM196622 OWX196622:OXI196622 PGT196622:PHE196622 PQP196622:PRA196622 QAL196622:QAW196622 QKH196622:QKS196622 QUD196622:QUO196622 RDZ196622:REK196622 RNV196622:ROG196622 RXR196622:RYC196622 SHN196622:SHY196622 SRJ196622:SRU196622 TBF196622:TBQ196622 TLB196622:TLM196622 TUX196622:TVI196622 UET196622:UFE196622 UOP196622:UPA196622 UYL196622:UYW196622 VIH196622:VIS196622 VSD196622:VSO196622 WBZ196622:WCK196622 WLV196622:WMG196622 WVR196622:WWC196622 J262158:U262158 JF262158:JQ262158 TB262158:TM262158 ACX262158:ADI262158 AMT262158:ANE262158 AWP262158:AXA262158 BGL262158:BGW262158 BQH262158:BQS262158 CAD262158:CAO262158 CJZ262158:CKK262158 CTV262158:CUG262158 DDR262158:DEC262158 DNN262158:DNY262158 DXJ262158:DXU262158 EHF262158:EHQ262158 ERB262158:ERM262158 FAX262158:FBI262158 FKT262158:FLE262158 FUP262158:FVA262158 GEL262158:GEW262158 GOH262158:GOS262158 GYD262158:GYO262158 HHZ262158:HIK262158 HRV262158:HSG262158 IBR262158:ICC262158 ILN262158:ILY262158 IVJ262158:IVU262158 JFF262158:JFQ262158 JPB262158:JPM262158 JYX262158:JZI262158 KIT262158:KJE262158 KSP262158:KTA262158 LCL262158:LCW262158 LMH262158:LMS262158 LWD262158:LWO262158 MFZ262158:MGK262158 MPV262158:MQG262158 MZR262158:NAC262158 NJN262158:NJY262158 NTJ262158:NTU262158 ODF262158:ODQ262158 ONB262158:ONM262158 OWX262158:OXI262158 PGT262158:PHE262158 PQP262158:PRA262158 QAL262158:QAW262158 QKH262158:QKS262158 QUD262158:QUO262158 RDZ262158:REK262158 RNV262158:ROG262158 RXR262158:RYC262158 SHN262158:SHY262158 SRJ262158:SRU262158 TBF262158:TBQ262158 TLB262158:TLM262158 TUX262158:TVI262158 UET262158:UFE262158 UOP262158:UPA262158 UYL262158:UYW262158 VIH262158:VIS262158 VSD262158:VSO262158 WBZ262158:WCK262158 WLV262158:WMG262158 WVR262158:WWC262158 J327694:U327694 JF327694:JQ327694 TB327694:TM327694 ACX327694:ADI327694 AMT327694:ANE327694 AWP327694:AXA327694 BGL327694:BGW327694 BQH327694:BQS327694 CAD327694:CAO327694 CJZ327694:CKK327694 CTV327694:CUG327694 DDR327694:DEC327694 DNN327694:DNY327694 DXJ327694:DXU327694 EHF327694:EHQ327694 ERB327694:ERM327694 FAX327694:FBI327694 FKT327694:FLE327694 FUP327694:FVA327694 GEL327694:GEW327694 GOH327694:GOS327694 GYD327694:GYO327694 HHZ327694:HIK327694 HRV327694:HSG327694 IBR327694:ICC327694 ILN327694:ILY327694 IVJ327694:IVU327694 JFF327694:JFQ327694 JPB327694:JPM327694 JYX327694:JZI327694 KIT327694:KJE327694 KSP327694:KTA327694 LCL327694:LCW327694 LMH327694:LMS327694 LWD327694:LWO327694 MFZ327694:MGK327694 MPV327694:MQG327694 MZR327694:NAC327694 NJN327694:NJY327694 NTJ327694:NTU327694 ODF327694:ODQ327694 ONB327694:ONM327694 OWX327694:OXI327694 PGT327694:PHE327694 PQP327694:PRA327694 QAL327694:QAW327694 QKH327694:QKS327694 QUD327694:QUO327694 RDZ327694:REK327694 RNV327694:ROG327694 RXR327694:RYC327694 SHN327694:SHY327694 SRJ327694:SRU327694 TBF327694:TBQ327694 TLB327694:TLM327694 TUX327694:TVI327694 UET327694:UFE327694 UOP327694:UPA327694 UYL327694:UYW327694 VIH327694:VIS327694 VSD327694:VSO327694 WBZ327694:WCK327694 WLV327694:WMG327694 WVR327694:WWC327694 J393230:U393230 JF393230:JQ393230 TB393230:TM393230 ACX393230:ADI393230 AMT393230:ANE393230 AWP393230:AXA393230 BGL393230:BGW393230 BQH393230:BQS393230 CAD393230:CAO393230 CJZ393230:CKK393230 CTV393230:CUG393230 DDR393230:DEC393230 DNN393230:DNY393230 DXJ393230:DXU393230 EHF393230:EHQ393230 ERB393230:ERM393230 FAX393230:FBI393230 FKT393230:FLE393230 FUP393230:FVA393230 GEL393230:GEW393230 GOH393230:GOS393230 GYD393230:GYO393230 HHZ393230:HIK393230 HRV393230:HSG393230 IBR393230:ICC393230 ILN393230:ILY393230 IVJ393230:IVU393230 JFF393230:JFQ393230 JPB393230:JPM393230 JYX393230:JZI393230 KIT393230:KJE393230 KSP393230:KTA393230 LCL393230:LCW393230 LMH393230:LMS393230 LWD393230:LWO393230 MFZ393230:MGK393230 MPV393230:MQG393230 MZR393230:NAC393230 NJN393230:NJY393230 NTJ393230:NTU393230 ODF393230:ODQ393230 ONB393230:ONM393230 OWX393230:OXI393230 PGT393230:PHE393230 PQP393230:PRA393230 QAL393230:QAW393230 QKH393230:QKS393230 QUD393230:QUO393230 RDZ393230:REK393230 RNV393230:ROG393230 RXR393230:RYC393230 SHN393230:SHY393230 SRJ393230:SRU393230 TBF393230:TBQ393230 TLB393230:TLM393230 TUX393230:TVI393230 UET393230:UFE393230 UOP393230:UPA393230 UYL393230:UYW393230 VIH393230:VIS393230 VSD393230:VSO393230 WBZ393230:WCK393230 WLV393230:WMG393230 WVR393230:WWC393230 J458766:U458766 JF458766:JQ458766 TB458766:TM458766 ACX458766:ADI458766 AMT458766:ANE458766 AWP458766:AXA458766 BGL458766:BGW458766 BQH458766:BQS458766 CAD458766:CAO458766 CJZ458766:CKK458766 CTV458766:CUG458766 DDR458766:DEC458766 DNN458766:DNY458766 DXJ458766:DXU458766 EHF458766:EHQ458766 ERB458766:ERM458766 FAX458766:FBI458766 FKT458766:FLE458766 FUP458766:FVA458766 GEL458766:GEW458766 GOH458766:GOS458766 GYD458766:GYO458766 HHZ458766:HIK458766 HRV458766:HSG458766 IBR458766:ICC458766 ILN458766:ILY458766 IVJ458766:IVU458766 JFF458766:JFQ458766 JPB458766:JPM458766 JYX458766:JZI458766 KIT458766:KJE458766 KSP458766:KTA458766 LCL458766:LCW458766 LMH458766:LMS458766 LWD458766:LWO458766 MFZ458766:MGK458766 MPV458766:MQG458766 MZR458766:NAC458766 NJN458766:NJY458766 NTJ458766:NTU458766 ODF458766:ODQ458766 ONB458766:ONM458766 OWX458766:OXI458766 PGT458766:PHE458766 PQP458766:PRA458766 QAL458766:QAW458766 QKH458766:QKS458766 QUD458766:QUO458766 RDZ458766:REK458766 RNV458766:ROG458766 RXR458766:RYC458766 SHN458766:SHY458766 SRJ458766:SRU458766 TBF458766:TBQ458766 TLB458766:TLM458766 TUX458766:TVI458766 UET458766:UFE458766 UOP458766:UPA458766 UYL458766:UYW458766 VIH458766:VIS458766 VSD458766:VSO458766 WBZ458766:WCK458766 WLV458766:WMG458766 WVR458766:WWC458766 J524302:U524302 JF524302:JQ524302 TB524302:TM524302 ACX524302:ADI524302 AMT524302:ANE524302 AWP524302:AXA524302 BGL524302:BGW524302 BQH524302:BQS524302 CAD524302:CAO524302 CJZ524302:CKK524302 CTV524302:CUG524302 DDR524302:DEC524302 DNN524302:DNY524302 DXJ524302:DXU524302 EHF524302:EHQ524302 ERB524302:ERM524302 FAX524302:FBI524302 FKT524302:FLE524302 FUP524302:FVA524302 GEL524302:GEW524302 GOH524302:GOS524302 GYD524302:GYO524302 HHZ524302:HIK524302 HRV524302:HSG524302 IBR524302:ICC524302 ILN524302:ILY524302 IVJ524302:IVU524302 JFF524302:JFQ524302 JPB524302:JPM524302 JYX524302:JZI524302 KIT524302:KJE524302 KSP524302:KTA524302 LCL524302:LCW524302 LMH524302:LMS524302 LWD524302:LWO524302 MFZ524302:MGK524302 MPV524302:MQG524302 MZR524302:NAC524302 NJN524302:NJY524302 NTJ524302:NTU524302 ODF524302:ODQ524302 ONB524302:ONM524302 OWX524302:OXI524302 PGT524302:PHE524302 PQP524302:PRA524302 QAL524302:QAW524302 QKH524302:QKS524302 QUD524302:QUO524302 RDZ524302:REK524302 RNV524302:ROG524302 RXR524302:RYC524302 SHN524302:SHY524302 SRJ524302:SRU524302 TBF524302:TBQ524302 TLB524302:TLM524302 TUX524302:TVI524302 UET524302:UFE524302 UOP524302:UPA524302 UYL524302:UYW524302 VIH524302:VIS524302 VSD524302:VSO524302 WBZ524302:WCK524302 WLV524302:WMG524302 WVR524302:WWC524302 J589838:U589838 JF589838:JQ589838 TB589838:TM589838 ACX589838:ADI589838 AMT589838:ANE589838 AWP589838:AXA589838 BGL589838:BGW589838 BQH589838:BQS589838 CAD589838:CAO589838 CJZ589838:CKK589838 CTV589838:CUG589838 DDR589838:DEC589838 DNN589838:DNY589838 DXJ589838:DXU589838 EHF589838:EHQ589838 ERB589838:ERM589838 FAX589838:FBI589838 FKT589838:FLE589838 FUP589838:FVA589838 GEL589838:GEW589838 GOH589838:GOS589838 GYD589838:GYO589838 HHZ589838:HIK589838 HRV589838:HSG589838 IBR589838:ICC589838 ILN589838:ILY589838 IVJ589838:IVU589838 JFF589838:JFQ589838 JPB589838:JPM589838 JYX589838:JZI589838 KIT589838:KJE589838 KSP589838:KTA589838 LCL589838:LCW589838 LMH589838:LMS589838 LWD589838:LWO589838 MFZ589838:MGK589838 MPV589838:MQG589838 MZR589838:NAC589838 NJN589838:NJY589838 NTJ589838:NTU589838 ODF589838:ODQ589838 ONB589838:ONM589838 OWX589838:OXI589838 PGT589838:PHE589838 PQP589838:PRA589838 QAL589838:QAW589838 QKH589838:QKS589838 QUD589838:QUO589838 RDZ589838:REK589838 RNV589838:ROG589838 RXR589838:RYC589838 SHN589838:SHY589838 SRJ589838:SRU589838 TBF589838:TBQ589838 TLB589838:TLM589838 TUX589838:TVI589838 UET589838:UFE589838 UOP589838:UPA589838 UYL589838:UYW589838 VIH589838:VIS589838 VSD589838:VSO589838 WBZ589838:WCK589838 WLV589838:WMG589838 WVR589838:WWC589838 J655374:U655374 JF655374:JQ655374 TB655374:TM655374 ACX655374:ADI655374 AMT655374:ANE655374 AWP655374:AXA655374 BGL655374:BGW655374 BQH655374:BQS655374 CAD655374:CAO655374 CJZ655374:CKK655374 CTV655374:CUG655374 DDR655374:DEC655374 DNN655374:DNY655374 DXJ655374:DXU655374 EHF655374:EHQ655374 ERB655374:ERM655374 FAX655374:FBI655374 FKT655374:FLE655374 FUP655374:FVA655374 GEL655374:GEW655374 GOH655374:GOS655374 GYD655374:GYO655374 HHZ655374:HIK655374 HRV655374:HSG655374 IBR655374:ICC655374 ILN655374:ILY655374 IVJ655374:IVU655374 JFF655374:JFQ655374 JPB655374:JPM655374 JYX655374:JZI655374 KIT655374:KJE655374 KSP655374:KTA655374 LCL655374:LCW655374 LMH655374:LMS655374 LWD655374:LWO655374 MFZ655374:MGK655374 MPV655374:MQG655374 MZR655374:NAC655374 NJN655374:NJY655374 NTJ655374:NTU655374 ODF655374:ODQ655374 ONB655374:ONM655374 OWX655374:OXI655374 PGT655374:PHE655374 PQP655374:PRA655374 QAL655374:QAW655374 QKH655374:QKS655374 QUD655374:QUO655374 RDZ655374:REK655374 RNV655374:ROG655374 RXR655374:RYC655374 SHN655374:SHY655374 SRJ655374:SRU655374 TBF655374:TBQ655374 TLB655374:TLM655374 TUX655374:TVI655374 UET655374:UFE655374 UOP655374:UPA655374 UYL655374:UYW655374 VIH655374:VIS655374 VSD655374:VSO655374 WBZ655374:WCK655374 WLV655374:WMG655374 WVR655374:WWC655374 J720910:U720910 JF720910:JQ720910 TB720910:TM720910 ACX720910:ADI720910 AMT720910:ANE720910 AWP720910:AXA720910 BGL720910:BGW720910 BQH720910:BQS720910 CAD720910:CAO720910 CJZ720910:CKK720910 CTV720910:CUG720910 DDR720910:DEC720910 DNN720910:DNY720910 DXJ720910:DXU720910 EHF720910:EHQ720910 ERB720910:ERM720910 FAX720910:FBI720910 FKT720910:FLE720910 FUP720910:FVA720910 GEL720910:GEW720910 GOH720910:GOS720910 GYD720910:GYO720910 HHZ720910:HIK720910 HRV720910:HSG720910 IBR720910:ICC720910 ILN720910:ILY720910 IVJ720910:IVU720910 JFF720910:JFQ720910 JPB720910:JPM720910 JYX720910:JZI720910 KIT720910:KJE720910 KSP720910:KTA720910 LCL720910:LCW720910 LMH720910:LMS720910 LWD720910:LWO720910 MFZ720910:MGK720910 MPV720910:MQG720910 MZR720910:NAC720910 NJN720910:NJY720910 NTJ720910:NTU720910 ODF720910:ODQ720910 ONB720910:ONM720910 OWX720910:OXI720910 PGT720910:PHE720910 PQP720910:PRA720910 QAL720910:QAW720910 QKH720910:QKS720910 QUD720910:QUO720910 RDZ720910:REK720910 RNV720910:ROG720910 RXR720910:RYC720910 SHN720910:SHY720910 SRJ720910:SRU720910 TBF720910:TBQ720910 TLB720910:TLM720910 TUX720910:TVI720910 UET720910:UFE720910 UOP720910:UPA720910 UYL720910:UYW720910 VIH720910:VIS720910 VSD720910:VSO720910 WBZ720910:WCK720910 WLV720910:WMG720910 WVR720910:WWC720910 J786446:U786446 JF786446:JQ786446 TB786446:TM786446 ACX786446:ADI786446 AMT786446:ANE786446 AWP786446:AXA786446 BGL786446:BGW786446 BQH786446:BQS786446 CAD786446:CAO786446 CJZ786446:CKK786446 CTV786446:CUG786446 DDR786446:DEC786446 DNN786446:DNY786446 DXJ786446:DXU786446 EHF786446:EHQ786446 ERB786446:ERM786446 FAX786446:FBI786446 FKT786446:FLE786446 FUP786446:FVA786446 GEL786446:GEW786446 GOH786446:GOS786446 GYD786446:GYO786446 HHZ786446:HIK786446 HRV786446:HSG786446 IBR786446:ICC786446 ILN786446:ILY786446 IVJ786446:IVU786446 JFF786446:JFQ786446 JPB786446:JPM786446 JYX786446:JZI786446 KIT786446:KJE786446 KSP786446:KTA786446 LCL786446:LCW786446 LMH786446:LMS786446 LWD786446:LWO786446 MFZ786446:MGK786446 MPV786446:MQG786446 MZR786446:NAC786446 NJN786446:NJY786446 NTJ786446:NTU786446 ODF786446:ODQ786446 ONB786446:ONM786446 OWX786446:OXI786446 PGT786446:PHE786446 PQP786446:PRA786446 QAL786446:QAW786446 QKH786446:QKS786446 QUD786446:QUO786446 RDZ786446:REK786446 RNV786446:ROG786446 RXR786446:RYC786446 SHN786446:SHY786446 SRJ786446:SRU786446 TBF786446:TBQ786446 TLB786446:TLM786446 TUX786446:TVI786446 UET786446:UFE786446 UOP786446:UPA786446 UYL786446:UYW786446 VIH786446:VIS786446 VSD786446:VSO786446 WBZ786446:WCK786446 WLV786446:WMG786446 WVR786446:WWC786446 J851982:U851982 JF851982:JQ851982 TB851982:TM851982 ACX851982:ADI851982 AMT851982:ANE851982 AWP851982:AXA851982 BGL851982:BGW851982 BQH851982:BQS851982 CAD851982:CAO851982 CJZ851982:CKK851982 CTV851982:CUG851982 DDR851982:DEC851982 DNN851982:DNY851982 DXJ851982:DXU851982 EHF851982:EHQ851982 ERB851982:ERM851982 FAX851982:FBI851982 FKT851982:FLE851982 FUP851982:FVA851982 GEL851982:GEW851982 GOH851982:GOS851982 GYD851982:GYO851982 HHZ851982:HIK851982 HRV851982:HSG851982 IBR851982:ICC851982 ILN851982:ILY851982 IVJ851982:IVU851982 JFF851982:JFQ851982 JPB851982:JPM851982 JYX851982:JZI851982 KIT851982:KJE851982 KSP851982:KTA851982 LCL851982:LCW851982 LMH851982:LMS851982 LWD851982:LWO851982 MFZ851982:MGK851982 MPV851982:MQG851982 MZR851982:NAC851982 NJN851982:NJY851982 NTJ851982:NTU851982 ODF851982:ODQ851982 ONB851982:ONM851982 OWX851982:OXI851982 PGT851982:PHE851982 PQP851982:PRA851982 QAL851982:QAW851982 QKH851982:QKS851982 QUD851982:QUO851982 RDZ851982:REK851982 RNV851982:ROG851982 RXR851982:RYC851982 SHN851982:SHY851982 SRJ851982:SRU851982 TBF851982:TBQ851982 TLB851982:TLM851982 TUX851982:TVI851982 UET851982:UFE851982 UOP851982:UPA851982 UYL851982:UYW851982 VIH851982:VIS851982 VSD851982:VSO851982 WBZ851982:WCK851982 WLV851982:WMG851982 WVR851982:WWC851982 J917518:U917518 JF917518:JQ917518 TB917518:TM917518 ACX917518:ADI917518 AMT917518:ANE917518 AWP917518:AXA917518 BGL917518:BGW917518 BQH917518:BQS917518 CAD917518:CAO917518 CJZ917518:CKK917518 CTV917518:CUG917518 DDR917518:DEC917518 DNN917518:DNY917518 DXJ917518:DXU917518 EHF917518:EHQ917518 ERB917518:ERM917518 FAX917518:FBI917518 FKT917518:FLE917518 FUP917518:FVA917518 GEL917518:GEW917518 GOH917518:GOS917518 GYD917518:GYO917518 HHZ917518:HIK917518 HRV917518:HSG917518 IBR917518:ICC917518 ILN917518:ILY917518 IVJ917518:IVU917518 JFF917518:JFQ917518 JPB917518:JPM917518 JYX917518:JZI917518 KIT917518:KJE917518 KSP917518:KTA917518 LCL917518:LCW917518 LMH917518:LMS917518 LWD917518:LWO917518 MFZ917518:MGK917518 MPV917518:MQG917518 MZR917518:NAC917518 NJN917518:NJY917518 NTJ917518:NTU917518 ODF917518:ODQ917518 ONB917518:ONM917518 OWX917518:OXI917518 PGT917518:PHE917518 PQP917518:PRA917518 QAL917518:QAW917518 QKH917518:QKS917518 QUD917518:QUO917518 RDZ917518:REK917518 RNV917518:ROG917518 RXR917518:RYC917518 SHN917518:SHY917518 SRJ917518:SRU917518 TBF917518:TBQ917518 TLB917518:TLM917518 TUX917518:TVI917518 UET917518:UFE917518 UOP917518:UPA917518 UYL917518:UYW917518 VIH917518:VIS917518 VSD917518:VSO917518 WBZ917518:WCK917518 WLV917518:WMG917518 WVR917518:WWC917518 J983054:U983054 JF983054:JQ983054 TB983054:TM983054 ACX983054:ADI983054 AMT983054:ANE983054 AWP983054:AXA983054 BGL983054:BGW983054 BQH983054:BQS983054 CAD983054:CAO983054 CJZ983054:CKK983054 CTV983054:CUG983054 DDR983054:DEC983054 DNN983054:DNY983054 DXJ983054:DXU983054 EHF983054:EHQ983054 ERB983054:ERM983054 FAX983054:FBI983054 FKT983054:FLE983054 FUP983054:FVA983054 GEL983054:GEW983054 GOH983054:GOS983054 GYD983054:GYO983054 HHZ983054:HIK983054 HRV983054:HSG983054 IBR983054:ICC983054 ILN983054:ILY983054 IVJ983054:IVU983054 JFF983054:JFQ983054 JPB983054:JPM983054 JYX983054:JZI983054 KIT983054:KJE983054 KSP983054:KTA983054 LCL983054:LCW983054 LMH983054:LMS983054 LWD983054:LWO983054 MFZ983054:MGK983054 MPV983054:MQG983054 MZR983054:NAC983054 NJN983054:NJY983054 NTJ983054:NTU983054 ODF983054:ODQ983054 ONB983054:ONM983054 OWX983054:OXI983054 PGT983054:PHE983054 PQP983054:PRA983054 QAL983054:QAW983054 QKH983054:QKS983054 QUD983054:QUO983054 RDZ983054:REK983054 RNV983054:ROG983054 RXR983054:RYC983054 SHN983054:SHY983054 SRJ983054:SRU983054 TBF983054:TBQ983054 TLB983054:TLM983054 TUX983054:TVI983054 UET983054:UFE983054 UOP983054:UPA983054 UYL983054:UYW983054 VIH983054:VIS983054 VSD983054:VSO983054 WBZ983054:WCK983054 WLV983054:WMG983054" xr:uid="{CDFB604F-5378-4B10-8092-3DE47DEA4679}">
      <formula1>"Male, Female, Senior Citizen"</formula1>
    </dataValidation>
    <dataValidation type="custom" showInputMessage="1" showErrorMessage="1" sqref="K22:U22 JG22:JQ22 TC22:TM22 ACY22:ADI22 AMU22:ANE22 AWQ22:AXA22 BGM22:BGW22 BQI22:BQS22 CAE22:CAO22 CKA22:CKK22 CTW22:CUG22 DDS22:DEC22 DNO22:DNY22 DXK22:DXU22 EHG22:EHQ22 ERC22:ERM22 FAY22:FBI22 FKU22:FLE22 FUQ22:FVA22 GEM22:GEW22 GOI22:GOS22 GYE22:GYO22 HIA22:HIK22 HRW22:HSG22 IBS22:ICC22 ILO22:ILY22 IVK22:IVU22 JFG22:JFQ22 JPC22:JPM22 JYY22:JZI22 KIU22:KJE22 KSQ22:KTA22 LCM22:LCW22 LMI22:LMS22 LWE22:LWO22 MGA22:MGK22 MPW22:MQG22 MZS22:NAC22 NJO22:NJY22 NTK22:NTU22 ODG22:ODQ22 ONC22:ONM22 OWY22:OXI22 PGU22:PHE22 PQQ22:PRA22 QAM22:QAW22 QKI22:QKS22 QUE22:QUO22 REA22:REK22 RNW22:ROG22 RXS22:RYC22 SHO22:SHY22 SRK22:SRU22 TBG22:TBQ22 TLC22:TLM22 TUY22:TVI22 UEU22:UFE22 UOQ22:UPA22 UYM22:UYW22 VII22:VIS22 VSE22:VSO22 WCA22:WCK22 WLW22:WMG22 WVS22:WWC22 K65562:U65562 JG65562:JQ65562 TC65562:TM65562 ACY65562:ADI65562 AMU65562:ANE65562 AWQ65562:AXA65562 BGM65562:BGW65562 BQI65562:BQS65562 CAE65562:CAO65562 CKA65562:CKK65562 CTW65562:CUG65562 DDS65562:DEC65562 DNO65562:DNY65562 DXK65562:DXU65562 EHG65562:EHQ65562 ERC65562:ERM65562 FAY65562:FBI65562 FKU65562:FLE65562 FUQ65562:FVA65562 GEM65562:GEW65562 GOI65562:GOS65562 GYE65562:GYO65562 HIA65562:HIK65562 HRW65562:HSG65562 IBS65562:ICC65562 ILO65562:ILY65562 IVK65562:IVU65562 JFG65562:JFQ65562 JPC65562:JPM65562 JYY65562:JZI65562 KIU65562:KJE65562 KSQ65562:KTA65562 LCM65562:LCW65562 LMI65562:LMS65562 LWE65562:LWO65562 MGA65562:MGK65562 MPW65562:MQG65562 MZS65562:NAC65562 NJO65562:NJY65562 NTK65562:NTU65562 ODG65562:ODQ65562 ONC65562:ONM65562 OWY65562:OXI65562 PGU65562:PHE65562 PQQ65562:PRA65562 QAM65562:QAW65562 QKI65562:QKS65562 QUE65562:QUO65562 REA65562:REK65562 RNW65562:ROG65562 RXS65562:RYC65562 SHO65562:SHY65562 SRK65562:SRU65562 TBG65562:TBQ65562 TLC65562:TLM65562 TUY65562:TVI65562 UEU65562:UFE65562 UOQ65562:UPA65562 UYM65562:UYW65562 VII65562:VIS65562 VSE65562:VSO65562 WCA65562:WCK65562 WLW65562:WMG65562 WVS65562:WWC65562 K131098:U131098 JG131098:JQ131098 TC131098:TM131098 ACY131098:ADI131098 AMU131098:ANE131098 AWQ131098:AXA131098 BGM131098:BGW131098 BQI131098:BQS131098 CAE131098:CAO131098 CKA131098:CKK131098 CTW131098:CUG131098 DDS131098:DEC131098 DNO131098:DNY131098 DXK131098:DXU131098 EHG131098:EHQ131098 ERC131098:ERM131098 FAY131098:FBI131098 FKU131098:FLE131098 FUQ131098:FVA131098 GEM131098:GEW131098 GOI131098:GOS131098 GYE131098:GYO131098 HIA131098:HIK131098 HRW131098:HSG131098 IBS131098:ICC131098 ILO131098:ILY131098 IVK131098:IVU131098 JFG131098:JFQ131098 JPC131098:JPM131098 JYY131098:JZI131098 KIU131098:KJE131098 KSQ131098:KTA131098 LCM131098:LCW131098 LMI131098:LMS131098 LWE131098:LWO131098 MGA131098:MGK131098 MPW131098:MQG131098 MZS131098:NAC131098 NJO131098:NJY131098 NTK131098:NTU131098 ODG131098:ODQ131098 ONC131098:ONM131098 OWY131098:OXI131098 PGU131098:PHE131098 PQQ131098:PRA131098 QAM131098:QAW131098 QKI131098:QKS131098 QUE131098:QUO131098 REA131098:REK131098 RNW131098:ROG131098 RXS131098:RYC131098 SHO131098:SHY131098 SRK131098:SRU131098 TBG131098:TBQ131098 TLC131098:TLM131098 TUY131098:TVI131098 UEU131098:UFE131098 UOQ131098:UPA131098 UYM131098:UYW131098 VII131098:VIS131098 VSE131098:VSO131098 WCA131098:WCK131098 WLW131098:WMG131098 WVS131098:WWC131098 K196634:U196634 JG196634:JQ196634 TC196634:TM196634 ACY196634:ADI196634 AMU196634:ANE196634 AWQ196634:AXA196634 BGM196634:BGW196634 BQI196634:BQS196634 CAE196634:CAO196634 CKA196634:CKK196634 CTW196634:CUG196634 DDS196634:DEC196634 DNO196634:DNY196634 DXK196634:DXU196634 EHG196634:EHQ196634 ERC196634:ERM196634 FAY196634:FBI196634 FKU196634:FLE196634 FUQ196634:FVA196634 GEM196634:GEW196634 GOI196634:GOS196634 GYE196634:GYO196634 HIA196634:HIK196634 HRW196634:HSG196634 IBS196634:ICC196634 ILO196634:ILY196634 IVK196634:IVU196634 JFG196634:JFQ196634 JPC196634:JPM196634 JYY196634:JZI196634 KIU196634:KJE196634 KSQ196634:KTA196634 LCM196634:LCW196634 LMI196634:LMS196634 LWE196634:LWO196634 MGA196634:MGK196634 MPW196634:MQG196634 MZS196634:NAC196634 NJO196634:NJY196634 NTK196634:NTU196634 ODG196634:ODQ196634 ONC196634:ONM196634 OWY196634:OXI196634 PGU196634:PHE196634 PQQ196634:PRA196634 QAM196634:QAW196634 QKI196634:QKS196634 QUE196634:QUO196634 REA196634:REK196634 RNW196634:ROG196634 RXS196634:RYC196634 SHO196634:SHY196634 SRK196634:SRU196634 TBG196634:TBQ196634 TLC196634:TLM196634 TUY196634:TVI196634 UEU196634:UFE196634 UOQ196634:UPA196634 UYM196634:UYW196634 VII196634:VIS196634 VSE196634:VSO196634 WCA196634:WCK196634 WLW196634:WMG196634 WVS196634:WWC196634 K262170:U262170 JG262170:JQ262170 TC262170:TM262170 ACY262170:ADI262170 AMU262170:ANE262170 AWQ262170:AXA262170 BGM262170:BGW262170 BQI262170:BQS262170 CAE262170:CAO262170 CKA262170:CKK262170 CTW262170:CUG262170 DDS262170:DEC262170 DNO262170:DNY262170 DXK262170:DXU262170 EHG262170:EHQ262170 ERC262170:ERM262170 FAY262170:FBI262170 FKU262170:FLE262170 FUQ262170:FVA262170 GEM262170:GEW262170 GOI262170:GOS262170 GYE262170:GYO262170 HIA262170:HIK262170 HRW262170:HSG262170 IBS262170:ICC262170 ILO262170:ILY262170 IVK262170:IVU262170 JFG262170:JFQ262170 JPC262170:JPM262170 JYY262170:JZI262170 KIU262170:KJE262170 KSQ262170:KTA262170 LCM262170:LCW262170 LMI262170:LMS262170 LWE262170:LWO262170 MGA262170:MGK262170 MPW262170:MQG262170 MZS262170:NAC262170 NJO262170:NJY262170 NTK262170:NTU262170 ODG262170:ODQ262170 ONC262170:ONM262170 OWY262170:OXI262170 PGU262170:PHE262170 PQQ262170:PRA262170 QAM262170:QAW262170 QKI262170:QKS262170 QUE262170:QUO262170 REA262170:REK262170 RNW262170:ROG262170 RXS262170:RYC262170 SHO262170:SHY262170 SRK262170:SRU262170 TBG262170:TBQ262170 TLC262170:TLM262170 TUY262170:TVI262170 UEU262170:UFE262170 UOQ262170:UPA262170 UYM262170:UYW262170 VII262170:VIS262170 VSE262170:VSO262170 WCA262170:WCK262170 WLW262170:WMG262170 WVS262170:WWC262170 K327706:U327706 JG327706:JQ327706 TC327706:TM327706 ACY327706:ADI327706 AMU327706:ANE327706 AWQ327706:AXA327706 BGM327706:BGW327706 BQI327706:BQS327706 CAE327706:CAO327706 CKA327706:CKK327706 CTW327706:CUG327706 DDS327706:DEC327706 DNO327706:DNY327706 DXK327706:DXU327706 EHG327706:EHQ327706 ERC327706:ERM327706 FAY327706:FBI327706 FKU327706:FLE327706 FUQ327706:FVA327706 GEM327706:GEW327706 GOI327706:GOS327706 GYE327706:GYO327706 HIA327706:HIK327706 HRW327706:HSG327706 IBS327706:ICC327706 ILO327706:ILY327706 IVK327706:IVU327706 JFG327706:JFQ327706 JPC327706:JPM327706 JYY327706:JZI327706 KIU327706:KJE327706 KSQ327706:KTA327706 LCM327706:LCW327706 LMI327706:LMS327706 LWE327706:LWO327706 MGA327706:MGK327706 MPW327706:MQG327706 MZS327706:NAC327706 NJO327706:NJY327706 NTK327706:NTU327706 ODG327706:ODQ327706 ONC327706:ONM327706 OWY327706:OXI327706 PGU327706:PHE327706 PQQ327706:PRA327706 QAM327706:QAW327706 QKI327706:QKS327706 QUE327706:QUO327706 REA327706:REK327706 RNW327706:ROG327706 RXS327706:RYC327706 SHO327706:SHY327706 SRK327706:SRU327706 TBG327706:TBQ327706 TLC327706:TLM327706 TUY327706:TVI327706 UEU327706:UFE327706 UOQ327706:UPA327706 UYM327706:UYW327706 VII327706:VIS327706 VSE327706:VSO327706 WCA327706:WCK327706 WLW327706:WMG327706 WVS327706:WWC327706 K393242:U393242 JG393242:JQ393242 TC393242:TM393242 ACY393242:ADI393242 AMU393242:ANE393242 AWQ393242:AXA393242 BGM393242:BGW393242 BQI393242:BQS393242 CAE393242:CAO393242 CKA393242:CKK393242 CTW393242:CUG393242 DDS393242:DEC393242 DNO393242:DNY393242 DXK393242:DXU393242 EHG393242:EHQ393242 ERC393242:ERM393242 FAY393242:FBI393242 FKU393242:FLE393242 FUQ393242:FVA393242 GEM393242:GEW393242 GOI393242:GOS393242 GYE393242:GYO393242 HIA393242:HIK393242 HRW393242:HSG393242 IBS393242:ICC393242 ILO393242:ILY393242 IVK393242:IVU393242 JFG393242:JFQ393242 JPC393242:JPM393242 JYY393242:JZI393242 KIU393242:KJE393242 KSQ393242:KTA393242 LCM393242:LCW393242 LMI393242:LMS393242 LWE393242:LWO393242 MGA393242:MGK393242 MPW393242:MQG393242 MZS393242:NAC393242 NJO393242:NJY393242 NTK393242:NTU393242 ODG393242:ODQ393242 ONC393242:ONM393242 OWY393242:OXI393242 PGU393242:PHE393242 PQQ393242:PRA393242 QAM393242:QAW393242 QKI393242:QKS393242 QUE393242:QUO393242 REA393242:REK393242 RNW393242:ROG393242 RXS393242:RYC393242 SHO393242:SHY393242 SRK393242:SRU393242 TBG393242:TBQ393242 TLC393242:TLM393242 TUY393242:TVI393242 UEU393242:UFE393242 UOQ393242:UPA393242 UYM393242:UYW393242 VII393242:VIS393242 VSE393242:VSO393242 WCA393242:WCK393242 WLW393242:WMG393242 WVS393242:WWC393242 K458778:U458778 JG458778:JQ458778 TC458778:TM458778 ACY458778:ADI458778 AMU458778:ANE458778 AWQ458778:AXA458778 BGM458778:BGW458778 BQI458778:BQS458778 CAE458778:CAO458778 CKA458778:CKK458778 CTW458778:CUG458778 DDS458778:DEC458778 DNO458778:DNY458778 DXK458778:DXU458778 EHG458778:EHQ458778 ERC458778:ERM458778 FAY458778:FBI458778 FKU458778:FLE458778 FUQ458778:FVA458778 GEM458778:GEW458778 GOI458778:GOS458778 GYE458778:GYO458778 HIA458778:HIK458778 HRW458778:HSG458778 IBS458778:ICC458778 ILO458778:ILY458778 IVK458778:IVU458778 JFG458778:JFQ458778 JPC458778:JPM458778 JYY458778:JZI458778 KIU458778:KJE458778 KSQ458778:KTA458778 LCM458778:LCW458778 LMI458778:LMS458778 LWE458778:LWO458778 MGA458778:MGK458778 MPW458778:MQG458778 MZS458778:NAC458778 NJO458778:NJY458778 NTK458778:NTU458778 ODG458778:ODQ458778 ONC458778:ONM458778 OWY458778:OXI458778 PGU458778:PHE458778 PQQ458778:PRA458778 QAM458778:QAW458778 QKI458778:QKS458778 QUE458778:QUO458778 REA458778:REK458778 RNW458778:ROG458778 RXS458778:RYC458778 SHO458778:SHY458778 SRK458778:SRU458778 TBG458778:TBQ458778 TLC458778:TLM458778 TUY458778:TVI458778 UEU458778:UFE458778 UOQ458778:UPA458778 UYM458778:UYW458778 VII458778:VIS458778 VSE458778:VSO458778 WCA458778:WCK458778 WLW458778:WMG458778 WVS458778:WWC458778 K524314:U524314 JG524314:JQ524314 TC524314:TM524314 ACY524314:ADI524314 AMU524314:ANE524314 AWQ524314:AXA524314 BGM524314:BGW524314 BQI524314:BQS524314 CAE524314:CAO524314 CKA524314:CKK524314 CTW524314:CUG524314 DDS524314:DEC524314 DNO524314:DNY524314 DXK524314:DXU524314 EHG524314:EHQ524314 ERC524314:ERM524314 FAY524314:FBI524314 FKU524314:FLE524314 FUQ524314:FVA524314 GEM524314:GEW524314 GOI524314:GOS524314 GYE524314:GYO524314 HIA524314:HIK524314 HRW524314:HSG524314 IBS524314:ICC524314 ILO524314:ILY524314 IVK524314:IVU524314 JFG524314:JFQ524314 JPC524314:JPM524314 JYY524314:JZI524314 KIU524314:KJE524314 KSQ524314:KTA524314 LCM524314:LCW524314 LMI524314:LMS524314 LWE524314:LWO524314 MGA524314:MGK524314 MPW524314:MQG524314 MZS524314:NAC524314 NJO524314:NJY524314 NTK524314:NTU524314 ODG524314:ODQ524314 ONC524314:ONM524314 OWY524314:OXI524314 PGU524314:PHE524314 PQQ524314:PRA524314 QAM524314:QAW524314 QKI524314:QKS524314 QUE524314:QUO524314 REA524314:REK524314 RNW524314:ROG524314 RXS524314:RYC524314 SHO524314:SHY524314 SRK524314:SRU524314 TBG524314:TBQ524314 TLC524314:TLM524314 TUY524314:TVI524314 UEU524314:UFE524314 UOQ524314:UPA524314 UYM524314:UYW524314 VII524314:VIS524314 VSE524314:VSO524314 WCA524314:WCK524314 WLW524314:WMG524314 WVS524314:WWC524314 K589850:U589850 JG589850:JQ589850 TC589850:TM589850 ACY589850:ADI589850 AMU589850:ANE589850 AWQ589850:AXA589850 BGM589850:BGW589850 BQI589850:BQS589850 CAE589850:CAO589850 CKA589850:CKK589850 CTW589850:CUG589850 DDS589850:DEC589850 DNO589850:DNY589850 DXK589850:DXU589850 EHG589850:EHQ589850 ERC589850:ERM589850 FAY589850:FBI589850 FKU589850:FLE589850 FUQ589850:FVA589850 GEM589850:GEW589850 GOI589850:GOS589850 GYE589850:GYO589850 HIA589850:HIK589850 HRW589850:HSG589850 IBS589850:ICC589850 ILO589850:ILY589850 IVK589850:IVU589850 JFG589850:JFQ589850 JPC589850:JPM589850 JYY589850:JZI589850 KIU589850:KJE589850 KSQ589850:KTA589850 LCM589850:LCW589850 LMI589850:LMS589850 LWE589850:LWO589850 MGA589850:MGK589850 MPW589850:MQG589850 MZS589850:NAC589850 NJO589850:NJY589850 NTK589850:NTU589850 ODG589850:ODQ589850 ONC589850:ONM589850 OWY589850:OXI589850 PGU589850:PHE589850 PQQ589850:PRA589850 QAM589850:QAW589850 QKI589850:QKS589850 QUE589850:QUO589850 REA589850:REK589850 RNW589850:ROG589850 RXS589850:RYC589850 SHO589850:SHY589850 SRK589850:SRU589850 TBG589850:TBQ589850 TLC589850:TLM589850 TUY589850:TVI589850 UEU589850:UFE589850 UOQ589850:UPA589850 UYM589850:UYW589850 VII589850:VIS589850 VSE589850:VSO589850 WCA589850:WCK589850 WLW589850:WMG589850 WVS589850:WWC589850 K655386:U655386 JG655386:JQ655386 TC655386:TM655386 ACY655386:ADI655386 AMU655386:ANE655386 AWQ655386:AXA655386 BGM655386:BGW655386 BQI655386:BQS655386 CAE655386:CAO655386 CKA655386:CKK655386 CTW655386:CUG655386 DDS655386:DEC655386 DNO655386:DNY655386 DXK655386:DXU655386 EHG655386:EHQ655386 ERC655386:ERM655386 FAY655386:FBI655386 FKU655386:FLE655386 FUQ655386:FVA655386 GEM655386:GEW655386 GOI655386:GOS655386 GYE655386:GYO655386 HIA655386:HIK655386 HRW655386:HSG655386 IBS655386:ICC655386 ILO655386:ILY655386 IVK655386:IVU655386 JFG655386:JFQ655386 JPC655386:JPM655386 JYY655386:JZI655386 KIU655386:KJE655386 KSQ655386:KTA655386 LCM655386:LCW655386 LMI655386:LMS655386 LWE655386:LWO655386 MGA655386:MGK655386 MPW655386:MQG655386 MZS655386:NAC655386 NJO655386:NJY655386 NTK655386:NTU655386 ODG655386:ODQ655386 ONC655386:ONM655386 OWY655386:OXI655386 PGU655386:PHE655386 PQQ655386:PRA655386 QAM655386:QAW655386 QKI655386:QKS655386 QUE655386:QUO655386 REA655386:REK655386 RNW655386:ROG655386 RXS655386:RYC655386 SHO655386:SHY655386 SRK655386:SRU655386 TBG655386:TBQ655386 TLC655386:TLM655386 TUY655386:TVI655386 UEU655386:UFE655386 UOQ655386:UPA655386 UYM655386:UYW655386 VII655386:VIS655386 VSE655386:VSO655386 WCA655386:WCK655386 WLW655386:WMG655386 WVS655386:WWC655386 K720922:U720922 JG720922:JQ720922 TC720922:TM720922 ACY720922:ADI720922 AMU720922:ANE720922 AWQ720922:AXA720922 BGM720922:BGW720922 BQI720922:BQS720922 CAE720922:CAO720922 CKA720922:CKK720922 CTW720922:CUG720922 DDS720922:DEC720922 DNO720922:DNY720922 DXK720922:DXU720922 EHG720922:EHQ720922 ERC720922:ERM720922 FAY720922:FBI720922 FKU720922:FLE720922 FUQ720922:FVA720922 GEM720922:GEW720922 GOI720922:GOS720922 GYE720922:GYO720922 HIA720922:HIK720922 HRW720922:HSG720922 IBS720922:ICC720922 ILO720922:ILY720922 IVK720922:IVU720922 JFG720922:JFQ720922 JPC720922:JPM720922 JYY720922:JZI720922 KIU720922:KJE720922 KSQ720922:KTA720922 LCM720922:LCW720922 LMI720922:LMS720922 LWE720922:LWO720922 MGA720922:MGK720922 MPW720922:MQG720922 MZS720922:NAC720922 NJO720922:NJY720922 NTK720922:NTU720922 ODG720922:ODQ720922 ONC720922:ONM720922 OWY720922:OXI720922 PGU720922:PHE720922 PQQ720922:PRA720922 QAM720922:QAW720922 QKI720922:QKS720922 QUE720922:QUO720922 REA720922:REK720922 RNW720922:ROG720922 RXS720922:RYC720922 SHO720922:SHY720922 SRK720922:SRU720922 TBG720922:TBQ720922 TLC720922:TLM720922 TUY720922:TVI720922 UEU720922:UFE720922 UOQ720922:UPA720922 UYM720922:UYW720922 VII720922:VIS720922 VSE720922:VSO720922 WCA720922:WCK720922 WLW720922:WMG720922 WVS720922:WWC720922 K786458:U786458 JG786458:JQ786458 TC786458:TM786458 ACY786458:ADI786458 AMU786458:ANE786458 AWQ786458:AXA786458 BGM786458:BGW786458 BQI786458:BQS786458 CAE786458:CAO786458 CKA786458:CKK786458 CTW786458:CUG786458 DDS786458:DEC786458 DNO786458:DNY786458 DXK786458:DXU786458 EHG786458:EHQ786458 ERC786458:ERM786458 FAY786458:FBI786458 FKU786458:FLE786458 FUQ786458:FVA786458 GEM786458:GEW786458 GOI786458:GOS786458 GYE786458:GYO786458 HIA786458:HIK786458 HRW786458:HSG786458 IBS786458:ICC786458 ILO786458:ILY786458 IVK786458:IVU786458 JFG786458:JFQ786458 JPC786458:JPM786458 JYY786458:JZI786458 KIU786458:KJE786458 KSQ786458:KTA786458 LCM786458:LCW786458 LMI786458:LMS786458 LWE786458:LWO786458 MGA786458:MGK786458 MPW786458:MQG786458 MZS786458:NAC786458 NJO786458:NJY786458 NTK786458:NTU786458 ODG786458:ODQ786458 ONC786458:ONM786458 OWY786458:OXI786458 PGU786458:PHE786458 PQQ786458:PRA786458 QAM786458:QAW786458 QKI786458:QKS786458 QUE786458:QUO786458 REA786458:REK786458 RNW786458:ROG786458 RXS786458:RYC786458 SHO786458:SHY786458 SRK786458:SRU786458 TBG786458:TBQ786458 TLC786458:TLM786458 TUY786458:TVI786458 UEU786458:UFE786458 UOQ786458:UPA786458 UYM786458:UYW786458 VII786458:VIS786458 VSE786458:VSO786458 WCA786458:WCK786458 WLW786458:WMG786458 WVS786458:WWC786458 K851994:U851994 JG851994:JQ851994 TC851994:TM851994 ACY851994:ADI851994 AMU851994:ANE851994 AWQ851994:AXA851994 BGM851994:BGW851994 BQI851994:BQS851994 CAE851994:CAO851994 CKA851994:CKK851994 CTW851994:CUG851994 DDS851994:DEC851994 DNO851994:DNY851994 DXK851994:DXU851994 EHG851994:EHQ851994 ERC851994:ERM851994 FAY851994:FBI851994 FKU851994:FLE851994 FUQ851994:FVA851994 GEM851994:GEW851994 GOI851994:GOS851994 GYE851994:GYO851994 HIA851994:HIK851994 HRW851994:HSG851994 IBS851994:ICC851994 ILO851994:ILY851994 IVK851994:IVU851994 JFG851994:JFQ851994 JPC851994:JPM851994 JYY851994:JZI851994 KIU851994:KJE851994 KSQ851994:KTA851994 LCM851994:LCW851994 LMI851994:LMS851994 LWE851994:LWO851994 MGA851994:MGK851994 MPW851994:MQG851994 MZS851994:NAC851994 NJO851994:NJY851994 NTK851994:NTU851994 ODG851994:ODQ851994 ONC851994:ONM851994 OWY851994:OXI851994 PGU851994:PHE851994 PQQ851994:PRA851994 QAM851994:QAW851994 QKI851994:QKS851994 QUE851994:QUO851994 REA851994:REK851994 RNW851994:ROG851994 RXS851994:RYC851994 SHO851994:SHY851994 SRK851994:SRU851994 TBG851994:TBQ851994 TLC851994:TLM851994 TUY851994:TVI851994 UEU851994:UFE851994 UOQ851994:UPA851994 UYM851994:UYW851994 VII851994:VIS851994 VSE851994:VSO851994 WCA851994:WCK851994 WLW851994:WMG851994 WVS851994:WWC851994 K917530:U917530 JG917530:JQ917530 TC917530:TM917530 ACY917530:ADI917530 AMU917530:ANE917530 AWQ917530:AXA917530 BGM917530:BGW917530 BQI917530:BQS917530 CAE917530:CAO917530 CKA917530:CKK917530 CTW917530:CUG917530 DDS917530:DEC917530 DNO917530:DNY917530 DXK917530:DXU917530 EHG917530:EHQ917530 ERC917530:ERM917530 FAY917530:FBI917530 FKU917530:FLE917530 FUQ917530:FVA917530 GEM917530:GEW917530 GOI917530:GOS917530 GYE917530:GYO917530 HIA917530:HIK917530 HRW917530:HSG917530 IBS917530:ICC917530 ILO917530:ILY917530 IVK917530:IVU917530 JFG917530:JFQ917530 JPC917530:JPM917530 JYY917530:JZI917530 KIU917530:KJE917530 KSQ917530:KTA917530 LCM917530:LCW917530 LMI917530:LMS917530 LWE917530:LWO917530 MGA917530:MGK917530 MPW917530:MQG917530 MZS917530:NAC917530 NJO917530:NJY917530 NTK917530:NTU917530 ODG917530:ODQ917530 ONC917530:ONM917530 OWY917530:OXI917530 PGU917530:PHE917530 PQQ917530:PRA917530 QAM917530:QAW917530 QKI917530:QKS917530 QUE917530:QUO917530 REA917530:REK917530 RNW917530:ROG917530 RXS917530:RYC917530 SHO917530:SHY917530 SRK917530:SRU917530 TBG917530:TBQ917530 TLC917530:TLM917530 TUY917530:TVI917530 UEU917530:UFE917530 UOQ917530:UPA917530 UYM917530:UYW917530 VII917530:VIS917530 VSE917530:VSO917530 WCA917530:WCK917530 WLW917530:WMG917530 WVS917530:WWC917530 K983066:U983066 JG983066:JQ983066 TC983066:TM983066 ACY983066:ADI983066 AMU983066:ANE983066 AWQ983066:AXA983066 BGM983066:BGW983066 BQI983066:BQS983066 CAE983066:CAO983066 CKA983066:CKK983066 CTW983066:CUG983066 DDS983066:DEC983066 DNO983066:DNY983066 DXK983066:DXU983066 EHG983066:EHQ983066 ERC983066:ERM983066 FAY983066:FBI983066 FKU983066:FLE983066 FUQ983066:FVA983066 GEM983066:GEW983066 GOI983066:GOS983066 GYE983066:GYO983066 HIA983066:HIK983066 HRW983066:HSG983066 IBS983066:ICC983066 ILO983066:ILY983066 IVK983066:IVU983066 JFG983066:JFQ983066 JPC983066:JPM983066 JYY983066:JZI983066 KIU983066:KJE983066 KSQ983066:KTA983066 LCM983066:LCW983066 LMI983066:LMS983066 LWE983066:LWO983066 MGA983066:MGK983066 MPW983066:MQG983066 MZS983066:NAC983066 NJO983066:NJY983066 NTK983066:NTU983066 ODG983066:ODQ983066 ONC983066:ONM983066 OWY983066:OXI983066 PGU983066:PHE983066 PQQ983066:PRA983066 QAM983066:QAW983066 QKI983066:QKS983066 QUE983066:QUO983066 REA983066:REK983066 RNW983066:ROG983066 RXS983066:RYC983066 SHO983066:SHY983066 SRK983066:SRU983066 TBG983066:TBQ983066 TLC983066:TLM983066 TUY983066:TVI983066 UEU983066:UFE983066 UOQ983066:UPA983066 UYM983066:UYW983066 VII983066:VIS983066 VSE983066:VSO983066 WCA983066:WCK983066 WLW983066:WMG983066 WVS983066:WWC983066" xr:uid="{E7A1C0A1-98C0-41B2-BF69-21E5D53F1093}">
      <formula1>"No selection"</formula1>
    </dataValidation>
    <dataValidation type="list" allowBlank="1" showInputMessage="1" showErrorMessage="1" sqref="F22:J22 JB22:JF22 SX22:TB22 ACT22:ACX22 AMP22:AMT22 AWL22:AWP22 BGH22:BGL22 BQD22:BQH22 BZZ22:CAD22 CJV22:CJZ22 CTR22:CTV22 DDN22:DDR22 DNJ22:DNN22 DXF22:DXJ22 EHB22:EHF22 EQX22:ERB22 FAT22:FAX22 FKP22:FKT22 FUL22:FUP22 GEH22:GEL22 GOD22:GOH22 GXZ22:GYD22 HHV22:HHZ22 HRR22:HRV22 IBN22:IBR22 ILJ22:ILN22 IVF22:IVJ22 JFB22:JFF22 JOX22:JPB22 JYT22:JYX22 KIP22:KIT22 KSL22:KSP22 LCH22:LCL22 LMD22:LMH22 LVZ22:LWD22 MFV22:MFZ22 MPR22:MPV22 MZN22:MZR22 NJJ22:NJN22 NTF22:NTJ22 ODB22:ODF22 OMX22:ONB22 OWT22:OWX22 PGP22:PGT22 PQL22:PQP22 QAH22:QAL22 QKD22:QKH22 QTZ22:QUD22 RDV22:RDZ22 RNR22:RNV22 RXN22:RXR22 SHJ22:SHN22 SRF22:SRJ22 TBB22:TBF22 TKX22:TLB22 TUT22:TUX22 UEP22:UET22 UOL22:UOP22 UYH22:UYL22 VID22:VIH22 VRZ22:VSD22 WBV22:WBZ22 WLR22:WLV22 WVN22:WVR22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xr:uid="{B31CC27D-70BB-45DB-BA19-5A960BA61E69}">
      <formula1>"Old tax, New tax"</formula1>
    </dataValidation>
    <dataValidation errorStyle="information" allowBlank="1" showInputMessage="1" showErrorMessage="1" promptTitle="Data source" prompt="Fill this data from the Taxable income found in ITR V of the respective years" sqref="G14:U14" xr:uid="{6D1BA8D4-6961-4D44-95AB-EC0D09435D6E}"/>
    <dataValidation errorStyle="information" allowBlank="1" showInputMessage="1" showErrorMessage="1" promptTitle="Source data" prompt="Fill this data from the year wise arrear statement provided by the O/o the Dean" sqref="G15:U15" xr:uid="{413DDA68-3D02-44C9-B0E8-E2E3D16633FE}"/>
  </dataValidations>
  <pageMargins left="0.78740157480314965" right="0.78740157480314965" top="1.0236220472440944" bottom="1.0236220472440944" header="0.78740157480314965" footer="0.78740157480314965"/>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A528-982C-4645-BAE4-CAADBCF42140}">
  <sheetPr codeName="Sheet5"/>
  <dimension ref="B1:K83"/>
  <sheetViews>
    <sheetView showGridLines="0" showZeros="0" zoomScale="85" zoomScaleNormal="85" workbookViewId="0">
      <pane ySplit="1" topLeftCell="A59" activePane="bottomLeft" state="frozen"/>
      <selection activeCell="E12" sqref="E12:F12"/>
      <selection pane="bottomLeft" activeCell="B3" sqref="B3:H3"/>
    </sheetView>
  </sheetViews>
  <sheetFormatPr defaultRowHeight="13.2" x14ac:dyDescent="0.25"/>
  <cols>
    <col min="1" max="1" width="9.109375" style="151"/>
    <col min="2" max="2" width="9" style="151" customWidth="1"/>
    <col min="3" max="7" width="13.109375" style="151" customWidth="1"/>
    <col min="8" max="8" width="14" style="151" customWidth="1"/>
    <col min="9" max="11" width="0" style="193" hidden="1" customWidth="1"/>
    <col min="12" max="257" width="9.109375" style="151"/>
    <col min="258" max="258" width="9" style="151" customWidth="1"/>
    <col min="259" max="263" width="13.109375" style="151" customWidth="1"/>
    <col min="264" max="264" width="14" style="151" customWidth="1"/>
    <col min="265" max="267" width="0" style="151" hidden="1" customWidth="1"/>
    <col min="268" max="513" width="9.109375" style="151"/>
    <col min="514" max="514" width="9" style="151" customWidth="1"/>
    <col min="515" max="519" width="13.109375" style="151" customWidth="1"/>
    <col min="520" max="520" width="14" style="151" customWidth="1"/>
    <col min="521" max="523" width="0" style="151" hidden="1" customWidth="1"/>
    <col min="524" max="769" width="9.109375" style="151"/>
    <col min="770" max="770" width="9" style="151" customWidth="1"/>
    <col min="771" max="775" width="13.109375" style="151" customWidth="1"/>
    <col min="776" max="776" width="14" style="151" customWidth="1"/>
    <col min="777" max="779" width="0" style="151" hidden="1" customWidth="1"/>
    <col min="780" max="1025" width="9.109375" style="151"/>
    <col min="1026" max="1026" width="9" style="151" customWidth="1"/>
    <col min="1027" max="1031" width="13.109375" style="151" customWidth="1"/>
    <col min="1032" max="1032" width="14" style="151" customWidth="1"/>
    <col min="1033" max="1035" width="0" style="151" hidden="1" customWidth="1"/>
    <col min="1036" max="1281" width="9.109375" style="151"/>
    <col min="1282" max="1282" width="9" style="151" customWidth="1"/>
    <col min="1283" max="1287" width="13.109375" style="151" customWidth="1"/>
    <col min="1288" max="1288" width="14" style="151" customWidth="1"/>
    <col min="1289" max="1291" width="0" style="151" hidden="1" customWidth="1"/>
    <col min="1292" max="1537" width="9.109375" style="151"/>
    <col min="1538" max="1538" width="9" style="151" customWidth="1"/>
    <col min="1539" max="1543" width="13.109375" style="151" customWidth="1"/>
    <col min="1544" max="1544" width="14" style="151" customWidth="1"/>
    <col min="1545" max="1547" width="0" style="151" hidden="1" customWidth="1"/>
    <col min="1548" max="1793" width="9.109375" style="151"/>
    <col min="1794" max="1794" width="9" style="151" customWidth="1"/>
    <col min="1795" max="1799" width="13.109375" style="151" customWidth="1"/>
    <col min="1800" max="1800" width="14" style="151" customWidth="1"/>
    <col min="1801" max="1803" width="0" style="151" hidden="1" customWidth="1"/>
    <col min="1804" max="2049" width="9.109375" style="151"/>
    <col min="2050" max="2050" width="9" style="151" customWidth="1"/>
    <col min="2051" max="2055" width="13.109375" style="151" customWidth="1"/>
    <col min="2056" max="2056" width="14" style="151" customWidth="1"/>
    <col min="2057" max="2059" width="0" style="151" hidden="1" customWidth="1"/>
    <col min="2060" max="2305" width="9.109375" style="151"/>
    <col min="2306" max="2306" width="9" style="151" customWidth="1"/>
    <col min="2307" max="2311" width="13.109375" style="151" customWidth="1"/>
    <col min="2312" max="2312" width="14" style="151" customWidth="1"/>
    <col min="2313" max="2315" width="0" style="151" hidden="1" customWidth="1"/>
    <col min="2316" max="2561" width="9.109375" style="151"/>
    <col min="2562" max="2562" width="9" style="151" customWidth="1"/>
    <col min="2563" max="2567" width="13.109375" style="151" customWidth="1"/>
    <col min="2568" max="2568" width="14" style="151" customWidth="1"/>
    <col min="2569" max="2571" width="0" style="151" hidden="1" customWidth="1"/>
    <col min="2572" max="2817" width="9.109375" style="151"/>
    <col min="2818" max="2818" width="9" style="151" customWidth="1"/>
    <col min="2819" max="2823" width="13.109375" style="151" customWidth="1"/>
    <col min="2824" max="2824" width="14" style="151" customWidth="1"/>
    <col min="2825" max="2827" width="0" style="151" hidden="1" customWidth="1"/>
    <col min="2828" max="3073" width="9.109375" style="151"/>
    <col min="3074" max="3074" width="9" style="151" customWidth="1"/>
    <col min="3075" max="3079" width="13.109375" style="151" customWidth="1"/>
    <col min="3080" max="3080" width="14" style="151" customWidth="1"/>
    <col min="3081" max="3083" width="0" style="151" hidden="1" customWidth="1"/>
    <col min="3084" max="3329" width="9.109375" style="151"/>
    <col min="3330" max="3330" width="9" style="151" customWidth="1"/>
    <col min="3331" max="3335" width="13.109375" style="151" customWidth="1"/>
    <col min="3336" max="3336" width="14" style="151" customWidth="1"/>
    <col min="3337" max="3339" width="0" style="151" hidden="1" customWidth="1"/>
    <col min="3340" max="3585" width="9.109375" style="151"/>
    <col min="3586" max="3586" width="9" style="151" customWidth="1"/>
    <col min="3587" max="3591" width="13.109375" style="151" customWidth="1"/>
    <col min="3592" max="3592" width="14" style="151" customWidth="1"/>
    <col min="3593" max="3595" width="0" style="151" hidden="1" customWidth="1"/>
    <col min="3596" max="3841" width="9.109375" style="151"/>
    <col min="3842" max="3842" width="9" style="151" customWidth="1"/>
    <col min="3843" max="3847" width="13.109375" style="151" customWidth="1"/>
    <col min="3848" max="3848" width="14" style="151" customWidth="1"/>
    <col min="3849" max="3851" width="0" style="151" hidden="1" customWidth="1"/>
    <col min="3852" max="4097" width="9.109375" style="151"/>
    <col min="4098" max="4098" width="9" style="151" customWidth="1"/>
    <col min="4099" max="4103" width="13.109375" style="151" customWidth="1"/>
    <col min="4104" max="4104" width="14" style="151" customWidth="1"/>
    <col min="4105" max="4107" width="0" style="151" hidden="1" customWidth="1"/>
    <col min="4108" max="4353" width="9.109375" style="151"/>
    <col min="4354" max="4354" width="9" style="151" customWidth="1"/>
    <col min="4355" max="4359" width="13.109375" style="151" customWidth="1"/>
    <col min="4360" max="4360" width="14" style="151" customWidth="1"/>
    <col min="4361" max="4363" width="0" style="151" hidden="1" customWidth="1"/>
    <col min="4364" max="4609" width="9.109375" style="151"/>
    <col min="4610" max="4610" width="9" style="151" customWidth="1"/>
    <col min="4611" max="4615" width="13.109375" style="151" customWidth="1"/>
    <col min="4616" max="4616" width="14" style="151" customWidth="1"/>
    <col min="4617" max="4619" width="0" style="151" hidden="1" customWidth="1"/>
    <col min="4620" max="4865" width="9.109375" style="151"/>
    <col min="4866" max="4866" width="9" style="151" customWidth="1"/>
    <col min="4867" max="4871" width="13.109375" style="151" customWidth="1"/>
    <col min="4872" max="4872" width="14" style="151" customWidth="1"/>
    <col min="4873" max="4875" width="0" style="151" hidden="1" customWidth="1"/>
    <col min="4876" max="5121" width="9.109375" style="151"/>
    <col min="5122" max="5122" width="9" style="151" customWidth="1"/>
    <col min="5123" max="5127" width="13.109375" style="151" customWidth="1"/>
    <col min="5128" max="5128" width="14" style="151" customWidth="1"/>
    <col min="5129" max="5131" width="0" style="151" hidden="1" customWidth="1"/>
    <col min="5132" max="5377" width="9.109375" style="151"/>
    <col min="5378" max="5378" width="9" style="151" customWidth="1"/>
    <col min="5379" max="5383" width="13.109375" style="151" customWidth="1"/>
    <col min="5384" max="5384" width="14" style="151" customWidth="1"/>
    <col min="5385" max="5387" width="0" style="151" hidden="1" customWidth="1"/>
    <col min="5388" max="5633" width="9.109375" style="151"/>
    <col min="5634" max="5634" width="9" style="151" customWidth="1"/>
    <col min="5635" max="5639" width="13.109375" style="151" customWidth="1"/>
    <col min="5640" max="5640" width="14" style="151" customWidth="1"/>
    <col min="5641" max="5643" width="0" style="151" hidden="1" customWidth="1"/>
    <col min="5644" max="5889" width="9.109375" style="151"/>
    <col min="5890" max="5890" width="9" style="151" customWidth="1"/>
    <col min="5891" max="5895" width="13.109375" style="151" customWidth="1"/>
    <col min="5896" max="5896" width="14" style="151" customWidth="1"/>
    <col min="5897" max="5899" width="0" style="151" hidden="1" customWidth="1"/>
    <col min="5900" max="6145" width="9.109375" style="151"/>
    <col min="6146" max="6146" width="9" style="151" customWidth="1"/>
    <col min="6147" max="6151" width="13.109375" style="151" customWidth="1"/>
    <col min="6152" max="6152" width="14" style="151" customWidth="1"/>
    <col min="6153" max="6155" width="0" style="151" hidden="1" customWidth="1"/>
    <col min="6156" max="6401" width="9.109375" style="151"/>
    <col min="6402" max="6402" width="9" style="151" customWidth="1"/>
    <col min="6403" max="6407" width="13.109375" style="151" customWidth="1"/>
    <col min="6408" max="6408" width="14" style="151" customWidth="1"/>
    <col min="6409" max="6411" width="0" style="151" hidden="1" customWidth="1"/>
    <col min="6412" max="6657" width="9.109375" style="151"/>
    <col min="6658" max="6658" width="9" style="151" customWidth="1"/>
    <col min="6659" max="6663" width="13.109375" style="151" customWidth="1"/>
    <col min="6664" max="6664" width="14" style="151" customWidth="1"/>
    <col min="6665" max="6667" width="0" style="151" hidden="1" customWidth="1"/>
    <col min="6668" max="6913" width="9.109375" style="151"/>
    <col min="6914" max="6914" width="9" style="151" customWidth="1"/>
    <col min="6915" max="6919" width="13.109375" style="151" customWidth="1"/>
    <col min="6920" max="6920" width="14" style="151" customWidth="1"/>
    <col min="6921" max="6923" width="0" style="151" hidden="1" customWidth="1"/>
    <col min="6924" max="7169" width="9.109375" style="151"/>
    <col min="7170" max="7170" width="9" style="151" customWidth="1"/>
    <col min="7171" max="7175" width="13.109375" style="151" customWidth="1"/>
    <col min="7176" max="7176" width="14" style="151" customWidth="1"/>
    <col min="7177" max="7179" width="0" style="151" hidden="1" customWidth="1"/>
    <col min="7180" max="7425" width="9.109375" style="151"/>
    <col min="7426" max="7426" width="9" style="151" customWidth="1"/>
    <col min="7427" max="7431" width="13.109375" style="151" customWidth="1"/>
    <col min="7432" max="7432" width="14" style="151" customWidth="1"/>
    <col min="7433" max="7435" width="0" style="151" hidden="1" customWidth="1"/>
    <col min="7436" max="7681" width="9.109375" style="151"/>
    <col min="7682" max="7682" width="9" style="151" customWidth="1"/>
    <col min="7683" max="7687" width="13.109375" style="151" customWidth="1"/>
    <col min="7688" max="7688" width="14" style="151" customWidth="1"/>
    <col min="7689" max="7691" width="0" style="151" hidden="1" customWidth="1"/>
    <col min="7692" max="7937" width="9.109375" style="151"/>
    <col min="7938" max="7938" width="9" style="151" customWidth="1"/>
    <col min="7939" max="7943" width="13.109375" style="151" customWidth="1"/>
    <col min="7944" max="7944" width="14" style="151" customWidth="1"/>
    <col min="7945" max="7947" width="0" style="151" hidden="1" customWidth="1"/>
    <col min="7948" max="8193" width="9.109375" style="151"/>
    <col min="8194" max="8194" width="9" style="151" customWidth="1"/>
    <col min="8195" max="8199" width="13.109375" style="151" customWidth="1"/>
    <col min="8200" max="8200" width="14" style="151" customWidth="1"/>
    <col min="8201" max="8203" width="0" style="151" hidden="1" customWidth="1"/>
    <col min="8204" max="8449" width="9.109375" style="151"/>
    <col min="8450" max="8450" width="9" style="151" customWidth="1"/>
    <col min="8451" max="8455" width="13.109375" style="151" customWidth="1"/>
    <col min="8456" max="8456" width="14" style="151" customWidth="1"/>
    <col min="8457" max="8459" width="0" style="151" hidden="1" customWidth="1"/>
    <col min="8460" max="8705" width="9.109375" style="151"/>
    <col min="8706" max="8706" width="9" style="151" customWidth="1"/>
    <col min="8707" max="8711" width="13.109375" style="151" customWidth="1"/>
    <col min="8712" max="8712" width="14" style="151" customWidth="1"/>
    <col min="8713" max="8715" width="0" style="151" hidden="1" customWidth="1"/>
    <col min="8716" max="8961" width="9.109375" style="151"/>
    <col min="8962" max="8962" width="9" style="151" customWidth="1"/>
    <col min="8963" max="8967" width="13.109375" style="151" customWidth="1"/>
    <col min="8968" max="8968" width="14" style="151" customWidth="1"/>
    <col min="8969" max="8971" width="0" style="151" hidden="1" customWidth="1"/>
    <col min="8972" max="9217" width="9.109375" style="151"/>
    <col min="9218" max="9218" width="9" style="151" customWidth="1"/>
    <col min="9219" max="9223" width="13.109375" style="151" customWidth="1"/>
    <col min="9224" max="9224" width="14" style="151" customWidth="1"/>
    <col min="9225" max="9227" width="0" style="151" hidden="1" customWidth="1"/>
    <col min="9228" max="9473" width="9.109375" style="151"/>
    <col min="9474" max="9474" width="9" style="151" customWidth="1"/>
    <col min="9475" max="9479" width="13.109375" style="151" customWidth="1"/>
    <col min="9480" max="9480" width="14" style="151" customWidth="1"/>
    <col min="9481" max="9483" width="0" style="151" hidden="1" customWidth="1"/>
    <col min="9484" max="9729" width="9.109375" style="151"/>
    <col min="9730" max="9730" width="9" style="151" customWidth="1"/>
    <col min="9731" max="9735" width="13.109375" style="151" customWidth="1"/>
    <col min="9736" max="9736" width="14" style="151" customWidth="1"/>
    <col min="9737" max="9739" width="0" style="151" hidden="1" customWidth="1"/>
    <col min="9740" max="9985" width="9.109375" style="151"/>
    <col min="9986" max="9986" width="9" style="151" customWidth="1"/>
    <col min="9987" max="9991" width="13.109375" style="151" customWidth="1"/>
    <col min="9992" max="9992" width="14" style="151" customWidth="1"/>
    <col min="9993" max="9995" width="0" style="151" hidden="1" customWidth="1"/>
    <col min="9996" max="10241" width="9.109375" style="151"/>
    <col min="10242" max="10242" width="9" style="151" customWidth="1"/>
    <col min="10243" max="10247" width="13.109375" style="151" customWidth="1"/>
    <col min="10248" max="10248" width="14" style="151" customWidth="1"/>
    <col min="10249" max="10251" width="0" style="151" hidden="1" customWidth="1"/>
    <col min="10252" max="10497" width="9.109375" style="151"/>
    <col min="10498" max="10498" width="9" style="151" customWidth="1"/>
    <col min="10499" max="10503" width="13.109375" style="151" customWidth="1"/>
    <col min="10504" max="10504" width="14" style="151" customWidth="1"/>
    <col min="10505" max="10507" width="0" style="151" hidden="1" customWidth="1"/>
    <col min="10508" max="10753" width="9.109375" style="151"/>
    <col min="10754" max="10754" width="9" style="151" customWidth="1"/>
    <col min="10755" max="10759" width="13.109375" style="151" customWidth="1"/>
    <col min="10760" max="10760" width="14" style="151" customWidth="1"/>
    <col min="10761" max="10763" width="0" style="151" hidden="1" customWidth="1"/>
    <col min="10764" max="11009" width="9.109375" style="151"/>
    <col min="11010" max="11010" width="9" style="151" customWidth="1"/>
    <col min="11011" max="11015" width="13.109375" style="151" customWidth="1"/>
    <col min="11016" max="11016" width="14" style="151" customWidth="1"/>
    <col min="11017" max="11019" width="0" style="151" hidden="1" customWidth="1"/>
    <col min="11020" max="11265" width="9.109375" style="151"/>
    <col min="11266" max="11266" width="9" style="151" customWidth="1"/>
    <col min="11267" max="11271" width="13.109375" style="151" customWidth="1"/>
    <col min="11272" max="11272" width="14" style="151" customWidth="1"/>
    <col min="11273" max="11275" width="0" style="151" hidden="1" customWidth="1"/>
    <col min="11276" max="11521" width="9.109375" style="151"/>
    <col min="11522" max="11522" width="9" style="151" customWidth="1"/>
    <col min="11523" max="11527" width="13.109375" style="151" customWidth="1"/>
    <col min="11528" max="11528" width="14" style="151" customWidth="1"/>
    <col min="11529" max="11531" width="0" style="151" hidden="1" customWidth="1"/>
    <col min="11532" max="11777" width="9.109375" style="151"/>
    <col min="11778" max="11778" width="9" style="151" customWidth="1"/>
    <col min="11779" max="11783" width="13.109375" style="151" customWidth="1"/>
    <col min="11784" max="11784" width="14" style="151" customWidth="1"/>
    <col min="11785" max="11787" width="0" style="151" hidden="1" customWidth="1"/>
    <col min="11788" max="12033" width="9.109375" style="151"/>
    <col min="12034" max="12034" width="9" style="151" customWidth="1"/>
    <col min="12035" max="12039" width="13.109375" style="151" customWidth="1"/>
    <col min="12040" max="12040" width="14" style="151" customWidth="1"/>
    <col min="12041" max="12043" width="0" style="151" hidden="1" customWidth="1"/>
    <col min="12044" max="12289" width="9.109375" style="151"/>
    <col min="12290" max="12290" width="9" style="151" customWidth="1"/>
    <col min="12291" max="12295" width="13.109375" style="151" customWidth="1"/>
    <col min="12296" max="12296" width="14" style="151" customWidth="1"/>
    <col min="12297" max="12299" width="0" style="151" hidden="1" customWidth="1"/>
    <col min="12300" max="12545" width="9.109375" style="151"/>
    <col min="12546" max="12546" width="9" style="151" customWidth="1"/>
    <col min="12547" max="12551" width="13.109375" style="151" customWidth="1"/>
    <col min="12552" max="12552" width="14" style="151" customWidth="1"/>
    <col min="12553" max="12555" width="0" style="151" hidden="1" customWidth="1"/>
    <col min="12556" max="12801" width="9.109375" style="151"/>
    <col min="12802" max="12802" width="9" style="151" customWidth="1"/>
    <col min="12803" max="12807" width="13.109375" style="151" customWidth="1"/>
    <col min="12808" max="12808" width="14" style="151" customWidth="1"/>
    <col min="12809" max="12811" width="0" style="151" hidden="1" customWidth="1"/>
    <col min="12812" max="13057" width="9.109375" style="151"/>
    <col min="13058" max="13058" width="9" style="151" customWidth="1"/>
    <col min="13059" max="13063" width="13.109375" style="151" customWidth="1"/>
    <col min="13064" max="13064" width="14" style="151" customWidth="1"/>
    <col min="13065" max="13067" width="0" style="151" hidden="1" customWidth="1"/>
    <col min="13068" max="13313" width="9.109375" style="151"/>
    <col min="13314" max="13314" width="9" style="151" customWidth="1"/>
    <col min="13315" max="13319" width="13.109375" style="151" customWidth="1"/>
    <col min="13320" max="13320" width="14" style="151" customWidth="1"/>
    <col min="13321" max="13323" width="0" style="151" hidden="1" customWidth="1"/>
    <col min="13324" max="13569" width="9.109375" style="151"/>
    <col min="13570" max="13570" width="9" style="151" customWidth="1"/>
    <col min="13571" max="13575" width="13.109375" style="151" customWidth="1"/>
    <col min="13576" max="13576" width="14" style="151" customWidth="1"/>
    <col min="13577" max="13579" width="0" style="151" hidden="1" customWidth="1"/>
    <col min="13580" max="13825" width="9.109375" style="151"/>
    <col min="13826" max="13826" width="9" style="151" customWidth="1"/>
    <col min="13827" max="13831" width="13.109375" style="151" customWidth="1"/>
    <col min="13832" max="13832" width="14" style="151" customWidth="1"/>
    <col min="13833" max="13835" width="0" style="151" hidden="1" customWidth="1"/>
    <col min="13836" max="14081" width="9.109375" style="151"/>
    <col min="14082" max="14082" width="9" style="151" customWidth="1"/>
    <col min="14083" max="14087" width="13.109375" style="151" customWidth="1"/>
    <col min="14088" max="14088" width="14" style="151" customWidth="1"/>
    <col min="14089" max="14091" width="0" style="151" hidden="1" customWidth="1"/>
    <col min="14092" max="14337" width="9.109375" style="151"/>
    <col min="14338" max="14338" width="9" style="151" customWidth="1"/>
    <col min="14339" max="14343" width="13.109375" style="151" customWidth="1"/>
    <col min="14344" max="14344" width="14" style="151" customWidth="1"/>
    <col min="14345" max="14347" width="0" style="151" hidden="1" customWidth="1"/>
    <col min="14348" max="14593" width="9.109375" style="151"/>
    <col min="14594" max="14594" width="9" style="151" customWidth="1"/>
    <col min="14595" max="14599" width="13.109375" style="151" customWidth="1"/>
    <col min="14600" max="14600" width="14" style="151" customWidth="1"/>
    <col min="14601" max="14603" width="0" style="151" hidden="1" customWidth="1"/>
    <col min="14604" max="14849" width="9.109375" style="151"/>
    <col min="14850" max="14850" width="9" style="151" customWidth="1"/>
    <col min="14851" max="14855" width="13.109375" style="151" customWidth="1"/>
    <col min="14856" max="14856" width="14" style="151" customWidth="1"/>
    <col min="14857" max="14859" width="0" style="151" hidden="1" customWidth="1"/>
    <col min="14860" max="15105" width="9.109375" style="151"/>
    <col min="15106" max="15106" width="9" style="151" customWidth="1"/>
    <col min="15107" max="15111" width="13.109375" style="151" customWidth="1"/>
    <col min="15112" max="15112" width="14" style="151" customWidth="1"/>
    <col min="15113" max="15115" width="0" style="151" hidden="1" customWidth="1"/>
    <col min="15116" max="15361" width="9.109375" style="151"/>
    <col min="15362" max="15362" width="9" style="151" customWidth="1"/>
    <col min="15363" max="15367" width="13.109375" style="151" customWidth="1"/>
    <col min="15368" max="15368" width="14" style="151" customWidth="1"/>
    <col min="15369" max="15371" width="0" style="151" hidden="1" customWidth="1"/>
    <col min="15372" max="15617" width="9.109375" style="151"/>
    <col min="15618" max="15618" width="9" style="151" customWidth="1"/>
    <col min="15619" max="15623" width="13.109375" style="151" customWidth="1"/>
    <col min="15624" max="15624" width="14" style="151" customWidth="1"/>
    <col min="15625" max="15627" width="0" style="151" hidden="1" customWidth="1"/>
    <col min="15628" max="15873" width="9.109375" style="151"/>
    <col min="15874" max="15874" width="9" style="151" customWidth="1"/>
    <col min="15875" max="15879" width="13.109375" style="151" customWidth="1"/>
    <col min="15880" max="15880" width="14" style="151" customWidth="1"/>
    <col min="15881" max="15883" width="0" style="151" hidden="1" customWidth="1"/>
    <col min="15884" max="16129" width="9.109375" style="151"/>
    <col min="16130" max="16130" width="9" style="151" customWidth="1"/>
    <col min="16131" max="16135" width="13.109375" style="151" customWidth="1"/>
    <col min="16136" max="16136" width="14" style="151" customWidth="1"/>
    <col min="16137" max="16139" width="0" style="151" hidden="1" customWidth="1"/>
    <col min="16140" max="16384" width="9.109375" style="151"/>
  </cols>
  <sheetData>
    <row r="1" spans="2:11" ht="67.5" customHeight="1" x14ac:dyDescent="0.25">
      <c r="B1" s="541" t="s">
        <v>327</v>
      </c>
      <c r="C1" s="542"/>
      <c r="D1" s="542"/>
      <c r="E1" s="542"/>
      <c r="F1" s="542"/>
      <c r="G1" s="542"/>
      <c r="H1" s="542"/>
    </row>
    <row r="2" spans="2:11" ht="36" customHeight="1" x14ac:dyDescent="0.25">
      <c r="B2" s="501"/>
      <c r="C2" s="501"/>
      <c r="D2" s="501"/>
      <c r="E2" s="501"/>
      <c r="F2" s="501"/>
      <c r="G2" s="501"/>
      <c r="H2" s="501"/>
    </row>
    <row r="3" spans="2:11" s="195" customFormat="1" ht="21" customHeight="1" x14ac:dyDescent="0.3">
      <c r="B3" s="531" t="s">
        <v>328</v>
      </c>
      <c r="C3" s="531"/>
      <c r="D3" s="531"/>
      <c r="E3" s="531"/>
      <c r="F3" s="531"/>
      <c r="G3" s="531"/>
      <c r="H3" s="531"/>
      <c r="I3" s="194"/>
    </row>
    <row r="4" spans="2:11" s="195" customFormat="1" ht="24.75" customHeight="1" x14ac:dyDescent="0.3">
      <c r="B4" s="543" t="s">
        <v>329</v>
      </c>
      <c r="C4" s="543"/>
      <c r="D4" s="543"/>
      <c r="E4" s="543"/>
      <c r="F4" s="543"/>
      <c r="G4" s="543"/>
      <c r="H4" s="543"/>
      <c r="I4" s="194"/>
    </row>
    <row r="5" spans="2:11" ht="78.75" customHeight="1" x14ac:dyDescent="0.25">
      <c r="B5" s="544" t="s">
        <v>330</v>
      </c>
      <c r="C5" s="544"/>
      <c r="D5" s="544"/>
      <c r="E5" s="544"/>
      <c r="F5" s="544"/>
      <c r="G5" s="544"/>
      <c r="H5" s="544"/>
    </row>
    <row r="6" spans="2:11" ht="23.25" customHeight="1" x14ac:dyDescent="0.25">
      <c r="B6" s="545" t="s">
        <v>331</v>
      </c>
      <c r="C6" s="545"/>
      <c r="D6" s="545"/>
      <c r="E6" s="545"/>
      <c r="F6" s="546">
        <f>Data!J6</f>
        <v>0</v>
      </c>
      <c r="G6" s="547"/>
      <c r="H6" s="547"/>
      <c r="I6" s="196" t="s">
        <v>332</v>
      </c>
    </row>
    <row r="7" spans="2:11" s="195" customFormat="1" ht="23.25" customHeight="1" x14ac:dyDescent="0.3">
      <c r="B7" s="545" t="s">
        <v>333</v>
      </c>
      <c r="C7" s="545"/>
      <c r="D7" s="545"/>
      <c r="E7" s="545"/>
      <c r="F7" s="548">
        <f>Data!J9</f>
        <v>0</v>
      </c>
      <c r="G7" s="547"/>
      <c r="H7" s="547"/>
      <c r="I7" s="197" t="s">
        <v>334</v>
      </c>
      <c r="J7" s="194" t="s">
        <v>335</v>
      </c>
      <c r="K7" s="198">
        <v>2009</v>
      </c>
    </row>
    <row r="8" spans="2:11" s="195" customFormat="1" ht="23.25" customHeight="1" x14ac:dyDescent="0.3">
      <c r="B8" s="545" t="s">
        <v>336</v>
      </c>
      <c r="C8" s="545"/>
      <c r="D8" s="545"/>
      <c r="E8" s="545"/>
      <c r="F8" s="547" t="s">
        <v>337</v>
      </c>
      <c r="G8" s="547"/>
      <c r="H8" s="547"/>
      <c r="I8" s="197" t="s">
        <v>338</v>
      </c>
      <c r="J8" s="194" t="s">
        <v>339</v>
      </c>
      <c r="K8" s="194"/>
    </row>
    <row r="9" spans="2:11" s="195" customFormat="1" ht="23.25" customHeight="1" x14ac:dyDescent="0.3">
      <c r="B9" s="549"/>
      <c r="C9" s="549"/>
      <c r="D9" s="549"/>
      <c r="E9" s="549"/>
      <c r="F9" s="549"/>
      <c r="G9" s="549"/>
      <c r="H9" s="549"/>
      <c r="I9" s="197"/>
      <c r="J9" s="194"/>
      <c r="K9" s="194"/>
    </row>
    <row r="10" spans="2:11" ht="48.75" customHeight="1" x14ac:dyDescent="0.25">
      <c r="B10" s="540" t="s">
        <v>340</v>
      </c>
      <c r="C10" s="540"/>
      <c r="D10" s="540"/>
      <c r="E10" s="540"/>
      <c r="F10" s="540"/>
      <c r="G10" s="540"/>
      <c r="H10" s="540"/>
      <c r="I10" s="196" t="s">
        <v>341</v>
      </c>
      <c r="J10" s="193" t="s">
        <v>342</v>
      </c>
    </row>
    <row r="11" spans="2:11" ht="48" customHeight="1" x14ac:dyDescent="0.25">
      <c r="B11" s="199" t="s">
        <v>343</v>
      </c>
      <c r="C11" s="530" t="s">
        <v>344</v>
      </c>
      <c r="D11" s="530"/>
      <c r="E11" s="530"/>
      <c r="F11" s="530"/>
      <c r="G11" s="530"/>
      <c r="H11" s="200">
        <f>SUM(Data!F15:U15)</f>
        <v>0</v>
      </c>
      <c r="I11" s="196" t="s">
        <v>345</v>
      </c>
      <c r="J11" s="193" t="s">
        <v>346</v>
      </c>
    </row>
    <row r="12" spans="2:11" ht="48" customHeight="1" x14ac:dyDescent="0.25">
      <c r="B12" s="201" t="s">
        <v>150</v>
      </c>
      <c r="C12" s="530" t="s">
        <v>347</v>
      </c>
      <c r="D12" s="530"/>
      <c r="E12" s="530"/>
      <c r="F12" s="530"/>
      <c r="G12" s="530"/>
      <c r="H12" s="202" t="s">
        <v>348</v>
      </c>
      <c r="I12" s="196" t="s">
        <v>349</v>
      </c>
      <c r="J12" s="193" t="s">
        <v>350</v>
      </c>
    </row>
    <row r="13" spans="2:11" ht="58.5" customHeight="1" x14ac:dyDescent="0.25">
      <c r="B13" s="201" t="s">
        <v>153</v>
      </c>
      <c r="C13" s="530" t="s">
        <v>351</v>
      </c>
      <c r="D13" s="530"/>
      <c r="E13" s="530"/>
      <c r="F13" s="530"/>
      <c r="G13" s="530"/>
      <c r="H13" s="202" t="s">
        <v>348</v>
      </c>
      <c r="I13" s="196" t="s">
        <v>352</v>
      </c>
      <c r="J13" s="193" t="s">
        <v>353</v>
      </c>
    </row>
    <row r="14" spans="2:11" ht="48" customHeight="1" x14ac:dyDescent="0.25">
      <c r="B14" s="201" t="s">
        <v>154</v>
      </c>
      <c r="C14" s="530" t="s">
        <v>354</v>
      </c>
      <c r="D14" s="530"/>
      <c r="E14" s="530"/>
      <c r="F14" s="530"/>
      <c r="G14" s="530"/>
      <c r="H14" s="202" t="s">
        <v>348</v>
      </c>
      <c r="I14" s="196" t="s">
        <v>355</v>
      </c>
      <c r="J14" s="193" t="s">
        <v>356</v>
      </c>
    </row>
    <row r="15" spans="2:11" ht="48" customHeight="1" x14ac:dyDescent="0.25">
      <c r="B15" s="203">
        <v>2</v>
      </c>
      <c r="C15" s="530" t="s">
        <v>357</v>
      </c>
      <c r="D15" s="530"/>
      <c r="E15" s="530"/>
      <c r="F15" s="530"/>
      <c r="G15" s="530"/>
      <c r="H15" s="530"/>
      <c r="I15" s="196" t="s">
        <v>358</v>
      </c>
      <c r="J15" s="193" t="s">
        <v>359</v>
      </c>
    </row>
    <row r="16" spans="2:11" ht="20.25" customHeight="1" x14ac:dyDescent="0.25">
      <c r="B16" s="204"/>
      <c r="C16" s="204"/>
      <c r="D16" s="204"/>
      <c r="E16" s="204"/>
      <c r="F16" s="204"/>
      <c r="G16" s="204"/>
      <c r="H16" s="204"/>
      <c r="I16" s="196" t="s">
        <v>360</v>
      </c>
      <c r="J16" s="193" t="s">
        <v>359</v>
      </c>
    </row>
    <row r="17" spans="2:11" ht="36.75" customHeight="1" x14ac:dyDescent="0.25">
      <c r="B17" s="204"/>
      <c r="C17" s="536" t="s">
        <v>361</v>
      </c>
      <c r="D17" s="536"/>
      <c r="E17" s="536"/>
      <c r="F17" s="536"/>
      <c r="G17" s="536"/>
      <c r="H17" s="536"/>
      <c r="I17" s="196" t="s">
        <v>362</v>
      </c>
      <c r="J17" s="193" t="s">
        <v>363</v>
      </c>
    </row>
    <row r="18" spans="2:11" ht="28.5" customHeight="1" x14ac:dyDescent="0.25">
      <c r="B18" s="537" t="s">
        <v>364</v>
      </c>
      <c r="C18" s="537"/>
      <c r="D18" s="537"/>
      <c r="E18" s="537"/>
      <c r="F18" s="537"/>
      <c r="G18" s="537"/>
      <c r="H18" s="537"/>
      <c r="I18" s="196" t="s">
        <v>365</v>
      </c>
    </row>
    <row r="19" spans="2:11" ht="44.25" customHeight="1" x14ac:dyDescent="0.25">
      <c r="B19" s="538" t="str">
        <f>"I, "&amp;Data!J6&amp;", "&amp;Data!J7&amp;", "&amp;Data!J8&amp;" do hereby declare that what is stated above is true to the best of my knowledge and belief."</f>
        <v>I, 0, 0, PAJANCOA&amp;RI, Karaikal do hereby declare that what is stated above is true to the best of my knowledge and belief.</v>
      </c>
      <c r="C19" s="538"/>
      <c r="D19" s="538"/>
      <c r="E19" s="538"/>
      <c r="F19" s="538"/>
      <c r="G19" s="538"/>
      <c r="H19" s="538"/>
      <c r="I19" s="196" t="s">
        <v>366</v>
      </c>
    </row>
    <row r="20" spans="2:11" ht="21.75" customHeight="1" x14ac:dyDescent="0.25">
      <c r="B20" s="539" t="str">
        <f ca="1">"Verified today on the, "&amp;DAY(TODAY())&amp;VLOOKUP(DAY(TODAY()),data,2,FALSE) &amp;" day of  "&amp; VLOOKUP(MONTH(TODAY()),data,3,FALSE)&amp;"  "&amp; YEAR(TODAY())</f>
        <v>Verified today on the, 4th day of  November  2025</v>
      </c>
      <c r="C20" s="539"/>
      <c r="D20" s="539"/>
      <c r="E20" s="539"/>
      <c r="F20" s="539"/>
      <c r="G20" s="539"/>
      <c r="H20" s="539"/>
      <c r="I20" s="196"/>
    </row>
    <row r="21" spans="2:11" ht="21.75" customHeight="1" x14ac:dyDescent="0.25">
      <c r="B21" s="519" t="s">
        <v>367</v>
      </c>
      <c r="C21" s="519"/>
      <c r="D21" s="205"/>
      <c r="E21" s="205"/>
      <c r="F21" s="204"/>
      <c r="G21" s="526" t="s">
        <v>368</v>
      </c>
      <c r="H21" s="526"/>
      <c r="I21" s="196" t="s">
        <v>369</v>
      </c>
    </row>
    <row r="22" spans="2:11" ht="21.75" customHeight="1" x14ac:dyDescent="0.25">
      <c r="B22" s="519" t="s">
        <v>370</v>
      </c>
      <c r="C22" s="519"/>
      <c r="D22" s="205"/>
      <c r="E22" s="205"/>
      <c r="F22" s="204"/>
      <c r="G22" s="535" t="s">
        <v>371</v>
      </c>
      <c r="H22" s="535"/>
      <c r="I22" s="196" t="s">
        <v>372</v>
      </c>
    </row>
    <row r="23" spans="2:11" x14ac:dyDescent="0.25">
      <c r="B23" s="204"/>
      <c r="C23" s="204"/>
      <c r="D23" s="204"/>
      <c r="E23" s="204"/>
      <c r="F23" s="204"/>
      <c r="G23" s="204"/>
      <c r="H23" s="204"/>
      <c r="I23" s="196" t="s">
        <v>373</v>
      </c>
    </row>
    <row r="24" spans="2:11" x14ac:dyDescent="0.25">
      <c r="I24" s="196" t="s">
        <v>374</v>
      </c>
    </row>
    <row r="25" spans="2:11" x14ac:dyDescent="0.25">
      <c r="C25" s="206"/>
      <c r="D25" s="206"/>
      <c r="E25" s="206"/>
      <c r="F25" s="206"/>
      <c r="G25" s="206"/>
      <c r="H25" s="206"/>
      <c r="I25" s="196" t="s">
        <v>375</v>
      </c>
    </row>
    <row r="26" spans="2:11" ht="26.25" customHeight="1" x14ac:dyDescent="0.25">
      <c r="B26" s="531" t="s">
        <v>376</v>
      </c>
      <c r="C26" s="531"/>
      <c r="D26" s="531"/>
      <c r="E26" s="531"/>
      <c r="F26" s="531"/>
      <c r="G26" s="531"/>
      <c r="H26" s="531"/>
      <c r="I26" s="531"/>
      <c r="J26" s="531"/>
    </row>
    <row r="27" spans="2:11" ht="16.5" customHeight="1" x14ac:dyDescent="0.25">
      <c r="B27" s="532" t="s">
        <v>377</v>
      </c>
      <c r="C27" s="532"/>
      <c r="D27" s="532"/>
      <c r="E27" s="532"/>
      <c r="F27" s="532"/>
      <c r="G27" s="532"/>
      <c r="H27" s="532"/>
      <c r="I27" s="532"/>
      <c r="J27" s="532"/>
    </row>
    <row r="28" spans="2:11" ht="16.5" customHeight="1" x14ac:dyDescent="0.25">
      <c r="B28" s="533" t="s">
        <v>378</v>
      </c>
      <c r="C28" s="533"/>
      <c r="D28" s="533"/>
      <c r="E28" s="533"/>
      <c r="F28" s="533"/>
      <c r="G28" s="533"/>
      <c r="H28" s="533"/>
      <c r="I28" s="533"/>
      <c r="J28" s="533"/>
    </row>
    <row r="29" spans="2:11" x14ac:dyDescent="0.25">
      <c r="I29" s="196" t="s">
        <v>379</v>
      </c>
    </row>
    <row r="30" spans="2:11" s="210" customFormat="1" ht="25.5" customHeight="1" x14ac:dyDescent="0.3">
      <c r="B30" s="207" t="s">
        <v>380</v>
      </c>
      <c r="C30" s="534" t="s">
        <v>381</v>
      </c>
      <c r="D30" s="534"/>
      <c r="E30" s="534"/>
      <c r="F30" s="534"/>
      <c r="G30" s="534"/>
      <c r="H30" s="207" t="s">
        <v>382</v>
      </c>
      <c r="I30" s="208"/>
      <c r="J30" s="209"/>
      <c r="K30" s="209"/>
    </row>
    <row r="31" spans="2:11" ht="45.75" customHeight="1" x14ac:dyDescent="0.25">
      <c r="B31" s="211">
        <v>1</v>
      </c>
      <c r="C31" s="530" t="s">
        <v>383</v>
      </c>
      <c r="D31" s="530"/>
      <c r="E31" s="530"/>
      <c r="F31" s="530"/>
      <c r="G31" s="530"/>
      <c r="H31" s="212">
        <f>SUM(Data!F14:'Data'!F15)</f>
        <v>0</v>
      </c>
      <c r="I31" s="213"/>
    </row>
    <row r="32" spans="2:11" ht="45.75" customHeight="1" x14ac:dyDescent="0.25">
      <c r="B32" s="211">
        <v>2</v>
      </c>
      <c r="C32" s="530" t="s">
        <v>384</v>
      </c>
      <c r="D32" s="530"/>
      <c r="E32" s="530"/>
      <c r="F32" s="530"/>
      <c r="G32" s="530"/>
      <c r="H32" s="212">
        <f>Data!T16-Data!F15</f>
        <v>0</v>
      </c>
      <c r="I32" s="213"/>
    </row>
    <row r="33" spans="2:9" ht="45.75" customHeight="1" x14ac:dyDescent="0.25">
      <c r="B33" s="211">
        <v>3</v>
      </c>
      <c r="C33" s="530" t="s">
        <v>385</v>
      </c>
      <c r="D33" s="530"/>
      <c r="E33" s="530"/>
      <c r="F33" s="530"/>
      <c r="G33" s="530"/>
      <c r="H33" s="212">
        <f>SUM(H31:H32)</f>
        <v>0</v>
      </c>
      <c r="I33" s="213"/>
    </row>
    <row r="34" spans="2:9" ht="45.75" customHeight="1" x14ac:dyDescent="0.25">
      <c r="B34" s="211">
        <v>4</v>
      </c>
      <c r="C34" s="530" t="s">
        <v>386</v>
      </c>
      <c r="D34" s="530"/>
      <c r="E34" s="530"/>
      <c r="F34" s="530"/>
      <c r="G34" s="530"/>
      <c r="H34" s="212">
        <f>Data!F32</f>
        <v>0</v>
      </c>
      <c r="I34" s="213"/>
    </row>
    <row r="35" spans="2:9" ht="45.75" customHeight="1" x14ac:dyDescent="0.25">
      <c r="B35" s="211">
        <v>5</v>
      </c>
      <c r="C35" s="530" t="s">
        <v>387</v>
      </c>
      <c r="D35" s="530"/>
      <c r="E35" s="530"/>
      <c r="F35" s="530"/>
      <c r="G35" s="530"/>
      <c r="H35" s="214">
        <f>Data!F46</f>
        <v>0</v>
      </c>
      <c r="I35" s="213"/>
    </row>
    <row r="36" spans="2:9" ht="45.75" customHeight="1" x14ac:dyDescent="0.25">
      <c r="B36" s="211">
        <v>6</v>
      </c>
      <c r="C36" s="530" t="s">
        <v>388</v>
      </c>
      <c r="D36" s="530"/>
      <c r="E36" s="530"/>
      <c r="F36" s="530"/>
      <c r="G36" s="530"/>
      <c r="H36" s="212">
        <f>SUM(H34-H35)</f>
        <v>0</v>
      </c>
      <c r="I36" s="213"/>
    </row>
    <row r="37" spans="2:9" ht="45.75" customHeight="1" x14ac:dyDescent="0.25">
      <c r="B37" s="211">
        <v>7</v>
      </c>
      <c r="C37" s="530" t="s">
        <v>389</v>
      </c>
      <c r="D37" s="530"/>
      <c r="E37" s="530"/>
      <c r="F37" s="530"/>
      <c r="G37" s="530"/>
      <c r="H37" s="212">
        <f>'Form 10E'!H76</f>
        <v>0</v>
      </c>
      <c r="I37" s="213"/>
    </row>
    <row r="38" spans="2:9" ht="45.75" customHeight="1" x14ac:dyDescent="0.25">
      <c r="B38" s="211">
        <v>8</v>
      </c>
      <c r="C38" s="530" t="s">
        <v>390</v>
      </c>
      <c r="D38" s="530"/>
      <c r="E38" s="530"/>
      <c r="F38" s="530"/>
      <c r="G38" s="530"/>
      <c r="H38" s="215">
        <f>IF(SUM(H36-H37)&lt;1,0,SUM(H36-H37))</f>
        <v>0</v>
      </c>
      <c r="I38" s="213"/>
    </row>
    <row r="42" spans="2:9" ht="18.75" customHeight="1" x14ac:dyDescent="0.25">
      <c r="E42" s="527" t="s">
        <v>391</v>
      </c>
    </row>
    <row r="43" spans="2:9" ht="18.75" customHeight="1" x14ac:dyDescent="0.25">
      <c r="E43" s="527"/>
    </row>
    <row r="44" spans="2:9" ht="18.75" customHeight="1" x14ac:dyDescent="0.25">
      <c r="E44" s="216" t="s">
        <v>392</v>
      </c>
      <c r="F44" s="528">
        <f>Data!J6</f>
        <v>0</v>
      </c>
      <c r="G44" s="529"/>
      <c r="H44" s="529"/>
    </row>
    <row r="45" spans="2:9" ht="18.75" customHeight="1" x14ac:dyDescent="0.25">
      <c r="B45" s="519" t="s">
        <v>367</v>
      </c>
      <c r="C45" s="519"/>
      <c r="E45" s="219" t="s">
        <v>281</v>
      </c>
      <c r="F45" s="528">
        <f>Data!J7</f>
        <v>0</v>
      </c>
      <c r="G45" s="529"/>
      <c r="H45" s="529"/>
    </row>
    <row r="46" spans="2:9" ht="18.75" customHeight="1" x14ac:dyDescent="0.25">
      <c r="B46" s="519" t="s">
        <v>370</v>
      </c>
      <c r="C46" s="519"/>
      <c r="E46" s="219" t="s">
        <v>282</v>
      </c>
      <c r="F46" s="528" t="str">
        <f>Data!J8</f>
        <v>PAJANCOA&amp;RI, Karaikal</v>
      </c>
      <c r="G46" s="529"/>
      <c r="H46" s="529"/>
    </row>
    <row r="47" spans="2:9" ht="18.75" customHeight="1" x14ac:dyDescent="0.25">
      <c r="E47" s="219"/>
      <c r="F47" s="217"/>
      <c r="G47" s="218"/>
      <c r="H47" s="218"/>
    </row>
    <row r="48" spans="2:9" ht="18.75" customHeight="1" x14ac:dyDescent="0.25">
      <c r="E48" s="219"/>
      <c r="F48" s="217"/>
      <c r="G48" s="218"/>
      <c r="H48" s="218"/>
    </row>
    <row r="49" spans="2:8" ht="18.75" customHeight="1" x14ac:dyDescent="0.25">
      <c r="E49" s="219"/>
      <c r="F49" s="217"/>
      <c r="G49" s="218"/>
      <c r="H49" s="218"/>
    </row>
    <row r="50" spans="2:8" ht="18.75" customHeight="1" x14ac:dyDescent="0.25">
      <c r="E50" s="219"/>
      <c r="F50" s="217"/>
      <c r="G50" s="218"/>
      <c r="H50" s="218"/>
    </row>
    <row r="51" spans="2:8" ht="18.75" customHeight="1" x14ac:dyDescent="0.25">
      <c r="E51" s="219"/>
      <c r="F51" s="217"/>
      <c r="G51" s="218"/>
      <c r="H51" s="218"/>
    </row>
    <row r="52" spans="2:8" ht="18.75" customHeight="1" x14ac:dyDescent="0.25">
      <c r="E52" s="219"/>
      <c r="F52" s="217"/>
      <c r="G52" s="218"/>
      <c r="H52" s="218"/>
    </row>
    <row r="53" spans="2:8" ht="18.75" customHeight="1" x14ac:dyDescent="0.25"/>
    <row r="56" spans="2:8" ht="20.25" customHeight="1" x14ac:dyDescent="0.3">
      <c r="B56" s="523" t="s">
        <v>393</v>
      </c>
      <c r="C56" s="523"/>
      <c r="D56" s="523"/>
      <c r="E56" s="523"/>
      <c r="F56" s="523"/>
      <c r="G56" s="523"/>
      <c r="H56" s="523"/>
    </row>
    <row r="57" spans="2:8" ht="18" customHeight="1" x14ac:dyDescent="0.25">
      <c r="B57" s="524" t="s">
        <v>394</v>
      </c>
      <c r="C57" s="524"/>
      <c r="D57" s="524"/>
      <c r="E57" s="524"/>
      <c r="F57" s="524"/>
      <c r="G57" s="524"/>
      <c r="H57" s="524"/>
    </row>
    <row r="58" spans="2:8" ht="15.75" customHeight="1" x14ac:dyDescent="0.25">
      <c r="B58" s="204"/>
      <c r="C58" s="204"/>
      <c r="D58" s="204"/>
      <c r="E58" s="204"/>
      <c r="F58" s="204"/>
      <c r="G58" s="204"/>
      <c r="H58" s="204"/>
    </row>
    <row r="59" spans="2:8" ht="127.5" customHeight="1" x14ac:dyDescent="0.25">
      <c r="B59" s="269" t="s">
        <v>395</v>
      </c>
      <c r="C59" s="270" t="s">
        <v>396</v>
      </c>
      <c r="D59" s="270" t="s">
        <v>397</v>
      </c>
      <c r="E59" s="270" t="s">
        <v>398</v>
      </c>
      <c r="F59" s="270" t="s">
        <v>399</v>
      </c>
      <c r="G59" s="270" t="s">
        <v>400</v>
      </c>
      <c r="H59" s="270" t="s">
        <v>401</v>
      </c>
    </row>
    <row r="60" spans="2:8" ht="20.25" customHeight="1" x14ac:dyDescent="0.25">
      <c r="B60" s="220" t="s">
        <v>402</v>
      </c>
      <c r="C60" s="220" t="s">
        <v>403</v>
      </c>
      <c r="D60" s="220" t="s">
        <v>404</v>
      </c>
      <c r="E60" s="220" t="s">
        <v>405</v>
      </c>
      <c r="F60" s="220" t="s">
        <v>406</v>
      </c>
      <c r="G60" s="220" t="s">
        <v>407</v>
      </c>
      <c r="H60" s="220" t="s">
        <v>408</v>
      </c>
    </row>
    <row r="61" spans="2:8" ht="24.9" customHeight="1" x14ac:dyDescent="0.25">
      <c r="B61" s="221" t="s">
        <v>303</v>
      </c>
      <c r="C61" s="222">
        <f>Data!U$39-Data!U$38</f>
        <v>0</v>
      </c>
      <c r="D61" s="223">
        <f>Data!U$15</f>
        <v>0</v>
      </c>
      <c r="E61" s="224">
        <f t="shared" ref="E61:E71" si="0">IF(C61="","",SUM(C61:D61))</f>
        <v>0</v>
      </c>
      <c r="F61" s="222">
        <f>Data!U$32</f>
        <v>0</v>
      </c>
      <c r="G61" s="222">
        <f>Data!U$46</f>
        <v>0</v>
      </c>
      <c r="H61" s="222">
        <f t="shared" ref="H61:H72" si="1">G61-F61</f>
        <v>0</v>
      </c>
    </row>
    <row r="62" spans="2:8" ht="24.9" customHeight="1" x14ac:dyDescent="0.25">
      <c r="B62" s="221" t="s">
        <v>302</v>
      </c>
      <c r="C62" s="222">
        <f>Data!T$39-Data!T$38</f>
        <v>0</v>
      </c>
      <c r="D62" s="223">
        <f>Data!T$15</f>
        <v>0</v>
      </c>
      <c r="E62" s="224">
        <f t="shared" si="0"/>
        <v>0</v>
      </c>
      <c r="F62" s="222">
        <f>Data!T$32</f>
        <v>0</v>
      </c>
      <c r="G62" s="222">
        <f>Data!T$46</f>
        <v>0</v>
      </c>
      <c r="H62" s="222">
        <f t="shared" si="1"/>
        <v>0</v>
      </c>
    </row>
    <row r="63" spans="2:8" ht="24.9" customHeight="1" x14ac:dyDescent="0.25">
      <c r="B63" s="221" t="s">
        <v>301</v>
      </c>
      <c r="C63" s="222">
        <f>Data!S$39-Data!S$38</f>
        <v>0</v>
      </c>
      <c r="D63" s="223">
        <f>Data!S$15</f>
        <v>0</v>
      </c>
      <c r="E63" s="224">
        <f t="shared" si="0"/>
        <v>0</v>
      </c>
      <c r="F63" s="222">
        <f>Data!S$32</f>
        <v>0</v>
      </c>
      <c r="G63" s="222">
        <f>Data!S$46</f>
        <v>0</v>
      </c>
      <c r="H63" s="222">
        <f t="shared" si="1"/>
        <v>0</v>
      </c>
    </row>
    <row r="64" spans="2:8" ht="24.9" customHeight="1" x14ac:dyDescent="0.25">
      <c r="B64" s="221" t="s">
        <v>300</v>
      </c>
      <c r="C64" s="222">
        <f>Data!R$39-Data!R$38</f>
        <v>0</v>
      </c>
      <c r="D64" s="223">
        <f>Data!R$15</f>
        <v>0</v>
      </c>
      <c r="E64" s="224">
        <f t="shared" si="0"/>
        <v>0</v>
      </c>
      <c r="F64" s="222">
        <f>Data!R$32</f>
        <v>0</v>
      </c>
      <c r="G64" s="222">
        <f>Data!R$46</f>
        <v>0</v>
      </c>
      <c r="H64" s="222">
        <f t="shared" si="1"/>
        <v>0</v>
      </c>
    </row>
    <row r="65" spans="2:8" ht="24.9" customHeight="1" x14ac:dyDescent="0.25">
      <c r="B65" s="221" t="s">
        <v>299</v>
      </c>
      <c r="C65" s="222">
        <f>Data!Q$39-Data!Q$38</f>
        <v>0</v>
      </c>
      <c r="D65" s="223">
        <f>Data!Q$15</f>
        <v>0</v>
      </c>
      <c r="E65" s="224">
        <f t="shared" si="0"/>
        <v>0</v>
      </c>
      <c r="F65" s="222">
        <f>Data!Q$32</f>
        <v>0</v>
      </c>
      <c r="G65" s="222">
        <f>Data!Q$46</f>
        <v>0</v>
      </c>
      <c r="H65" s="222">
        <f t="shared" si="1"/>
        <v>0</v>
      </c>
    </row>
    <row r="66" spans="2:8" ht="24.9" customHeight="1" x14ac:dyDescent="0.25">
      <c r="B66" s="221" t="s">
        <v>298</v>
      </c>
      <c r="C66" s="222">
        <f>Data!P$39-Data!P$38</f>
        <v>0</v>
      </c>
      <c r="D66" s="223">
        <f>Data!P$15</f>
        <v>0</v>
      </c>
      <c r="E66" s="224">
        <f t="shared" si="0"/>
        <v>0</v>
      </c>
      <c r="F66" s="222">
        <f>Data!P$32</f>
        <v>0</v>
      </c>
      <c r="G66" s="222">
        <f>Data!P$46</f>
        <v>0</v>
      </c>
      <c r="H66" s="222">
        <f t="shared" si="1"/>
        <v>0</v>
      </c>
    </row>
    <row r="67" spans="2:8" ht="24.9" customHeight="1" x14ac:dyDescent="0.25">
      <c r="B67" s="221" t="s">
        <v>297</v>
      </c>
      <c r="C67" s="222">
        <f>Data!O$39-Data!O$38</f>
        <v>0</v>
      </c>
      <c r="D67" s="223">
        <f>Data!O$15</f>
        <v>0</v>
      </c>
      <c r="E67" s="224">
        <f t="shared" si="0"/>
        <v>0</v>
      </c>
      <c r="F67" s="222">
        <f>Data!O$32</f>
        <v>0</v>
      </c>
      <c r="G67" s="222">
        <f>Data!O$46</f>
        <v>0</v>
      </c>
      <c r="H67" s="222">
        <f t="shared" si="1"/>
        <v>0</v>
      </c>
    </row>
    <row r="68" spans="2:8" ht="24.9" customHeight="1" x14ac:dyDescent="0.25">
      <c r="B68" s="221" t="s">
        <v>296</v>
      </c>
      <c r="C68" s="222">
        <f>Data!N39-Data!N38</f>
        <v>0</v>
      </c>
      <c r="D68" s="223">
        <f>Data!N$15</f>
        <v>0</v>
      </c>
      <c r="E68" s="224">
        <f t="shared" si="0"/>
        <v>0</v>
      </c>
      <c r="F68" s="222">
        <f>Data!N32</f>
        <v>0</v>
      </c>
      <c r="G68" s="222">
        <f>Data!N46</f>
        <v>0</v>
      </c>
      <c r="H68" s="222">
        <f t="shared" si="1"/>
        <v>0</v>
      </c>
    </row>
    <row r="69" spans="2:8" ht="24.9" customHeight="1" x14ac:dyDescent="0.25">
      <c r="B69" s="221" t="s">
        <v>295</v>
      </c>
      <c r="C69" s="222">
        <f>Data!M39-Data!M38</f>
        <v>0</v>
      </c>
      <c r="D69" s="223">
        <f>Data!M$15</f>
        <v>0</v>
      </c>
      <c r="E69" s="224">
        <f t="shared" si="0"/>
        <v>0</v>
      </c>
      <c r="F69" s="222">
        <f>Data!M32</f>
        <v>0</v>
      </c>
      <c r="G69" s="222">
        <f>Data!M46</f>
        <v>0</v>
      </c>
      <c r="H69" s="222">
        <f t="shared" si="1"/>
        <v>0</v>
      </c>
    </row>
    <row r="70" spans="2:8" ht="24.9" customHeight="1" x14ac:dyDescent="0.25">
      <c r="B70" s="221" t="s">
        <v>294</v>
      </c>
      <c r="C70" s="222">
        <f>Data!L39-Data!L38</f>
        <v>0</v>
      </c>
      <c r="D70" s="223">
        <f>Data!L$15</f>
        <v>0</v>
      </c>
      <c r="E70" s="224">
        <f t="shared" si="0"/>
        <v>0</v>
      </c>
      <c r="F70" s="222">
        <f>Data!L32</f>
        <v>0</v>
      </c>
      <c r="G70" s="222">
        <f>Data!L46</f>
        <v>0</v>
      </c>
      <c r="H70" s="222">
        <f t="shared" si="1"/>
        <v>0</v>
      </c>
    </row>
    <row r="71" spans="2:8" ht="24.9" customHeight="1" x14ac:dyDescent="0.25">
      <c r="B71" s="221" t="s">
        <v>293</v>
      </c>
      <c r="C71" s="222">
        <f>Data!K39-Data!K38</f>
        <v>0</v>
      </c>
      <c r="D71" s="223">
        <f>Data!K$15</f>
        <v>0</v>
      </c>
      <c r="E71" s="224">
        <f t="shared" si="0"/>
        <v>0</v>
      </c>
      <c r="F71" s="222">
        <f>Data!K32</f>
        <v>0</v>
      </c>
      <c r="G71" s="222">
        <f>Data!K46</f>
        <v>0</v>
      </c>
      <c r="H71" s="222">
        <f t="shared" si="1"/>
        <v>0</v>
      </c>
    </row>
    <row r="72" spans="2:8" ht="24.9" customHeight="1" x14ac:dyDescent="0.25">
      <c r="B72" s="225" t="s">
        <v>292</v>
      </c>
      <c r="C72" s="226">
        <f>Data!J39-Data!J38</f>
        <v>0</v>
      </c>
      <c r="D72" s="223">
        <f>Data!J$15</f>
        <v>0</v>
      </c>
      <c r="E72" s="224">
        <f>IF(C72="","",SUM(C72:D72))</f>
        <v>0</v>
      </c>
      <c r="F72" s="226">
        <f>Data!J32</f>
        <v>0</v>
      </c>
      <c r="G72" s="226">
        <f>Data!J46</f>
        <v>0</v>
      </c>
      <c r="H72" s="222">
        <f t="shared" si="1"/>
        <v>0</v>
      </c>
    </row>
    <row r="73" spans="2:8" ht="24.9" customHeight="1" x14ac:dyDescent="0.25">
      <c r="B73" s="225" t="s">
        <v>291</v>
      </c>
      <c r="C73" s="226">
        <f>Data!I39-Data!I38</f>
        <v>0</v>
      </c>
      <c r="D73" s="223">
        <f>Data!I$15</f>
        <v>0</v>
      </c>
      <c r="E73" s="224">
        <f>IF(C73="","",SUM(C73:D73))</f>
        <v>0</v>
      </c>
      <c r="F73" s="226">
        <f>Data!I32</f>
        <v>0</v>
      </c>
      <c r="G73" s="226">
        <f>Data!I46</f>
        <v>0</v>
      </c>
      <c r="H73" s="222">
        <f>G73-F73</f>
        <v>0</v>
      </c>
    </row>
    <row r="74" spans="2:8" ht="24.9" customHeight="1" x14ac:dyDescent="0.25">
      <c r="B74" s="225" t="s">
        <v>290</v>
      </c>
      <c r="C74" s="226">
        <f>Data!H39-Data!H38</f>
        <v>0</v>
      </c>
      <c r="D74" s="223">
        <f>Data!H$15</f>
        <v>0</v>
      </c>
      <c r="E74" s="224">
        <f>IF(C74="","",SUM(C74:D74))</f>
        <v>0</v>
      </c>
      <c r="F74" s="226">
        <f>Data!H32</f>
        <v>0</v>
      </c>
      <c r="G74" s="226">
        <f>Data!H46</f>
        <v>0</v>
      </c>
      <c r="H74" s="222">
        <f>G74-F74</f>
        <v>0</v>
      </c>
    </row>
    <row r="75" spans="2:8" ht="24.9" customHeight="1" x14ac:dyDescent="0.25">
      <c r="B75" s="225" t="s">
        <v>289</v>
      </c>
      <c r="C75" s="226">
        <f>Data!G39-Data!G38</f>
        <v>0</v>
      </c>
      <c r="D75" s="223">
        <f>Data!G$15</f>
        <v>0</v>
      </c>
      <c r="E75" s="224">
        <f>IF(C75="","",SUM(C75:D75))</f>
        <v>0</v>
      </c>
      <c r="F75" s="226">
        <f>Data!G32</f>
        <v>0</v>
      </c>
      <c r="G75" s="226">
        <f>Data!G46</f>
        <v>0</v>
      </c>
      <c r="H75" s="222">
        <f>G75-F75</f>
        <v>0</v>
      </c>
    </row>
    <row r="76" spans="2:8" ht="24.9" customHeight="1" x14ac:dyDescent="0.25">
      <c r="B76" s="227" t="s">
        <v>20</v>
      </c>
      <c r="C76" s="228">
        <f t="shared" ref="C76:H76" si="2">SUM(C61:C75)</f>
        <v>0</v>
      </c>
      <c r="D76" s="228">
        <f t="shared" si="2"/>
        <v>0</v>
      </c>
      <c r="E76" s="228">
        <f t="shared" si="2"/>
        <v>0</v>
      </c>
      <c r="F76" s="228">
        <f t="shared" si="2"/>
        <v>0</v>
      </c>
      <c r="G76" s="228">
        <f t="shared" si="2"/>
        <v>0</v>
      </c>
      <c r="H76" s="228">
        <f t="shared" si="2"/>
        <v>0</v>
      </c>
    </row>
    <row r="77" spans="2:8" ht="32.25" customHeight="1" x14ac:dyDescent="0.25">
      <c r="B77" s="229"/>
      <c r="C77" s="230"/>
      <c r="D77" s="230"/>
      <c r="E77" s="230"/>
      <c r="F77" s="230"/>
      <c r="G77" s="230"/>
      <c r="H77" s="230"/>
    </row>
    <row r="78" spans="2:8" x14ac:dyDescent="0.25">
      <c r="B78" s="204"/>
      <c r="C78" s="204"/>
      <c r="D78" s="204"/>
      <c r="E78" s="525" t="s">
        <v>391</v>
      </c>
      <c r="G78" s="526"/>
      <c r="H78" s="526"/>
    </row>
    <row r="79" spans="2:8" ht="14.25" customHeight="1" x14ac:dyDescent="0.25">
      <c r="B79" s="204"/>
      <c r="C79" s="204"/>
      <c r="D79" s="204"/>
      <c r="E79" s="525"/>
      <c r="G79" s="526"/>
      <c r="H79" s="526"/>
    </row>
    <row r="80" spans="2:8" ht="18.75" customHeight="1" x14ac:dyDescent="0.25">
      <c r="B80" s="204"/>
      <c r="C80" s="204"/>
      <c r="D80" s="204"/>
      <c r="E80" s="231" t="s">
        <v>392</v>
      </c>
      <c r="F80" s="520">
        <f>Data!J6</f>
        <v>0</v>
      </c>
      <c r="G80" s="520"/>
      <c r="H80" s="520"/>
    </row>
    <row r="81" spans="2:8" ht="18.75" customHeight="1" x14ac:dyDescent="0.25">
      <c r="B81" s="519" t="s">
        <v>409</v>
      </c>
      <c r="C81" s="519"/>
      <c r="D81" s="204"/>
      <c r="E81" s="231" t="s">
        <v>410</v>
      </c>
      <c r="F81" s="520">
        <f>Data!J7</f>
        <v>0</v>
      </c>
      <c r="G81" s="520"/>
      <c r="H81" s="520"/>
    </row>
    <row r="82" spans="2:8" ht="18.75" customHeight="1" x14ac:dyDescent="0.25">
      <c r="B82" s="519" t="s">
        <v>411</v>
      </c>
      <c r="C82" s="519"/>
      <c r="D82" s="232"/>
      <c r="E82" s="231" t="s">
        <v>412</v>
      </c>
      <c r="F82" s="520" t="str">
        <f>Data!J8</f>
        <v>PAJANCOA&amp;RI, Karaikal</v>
      </c>
      <c r="G82" s="520"/>
      <c r="H82" s="520"/>
    </row>
    <row r="83" spans="2:8" x14ac:dyDescent="0.25">
      <c r="C83" s="521"/>
      <c r="D83" s="521"/>
      <c r="E83" s="204"/>
      <c r="F83" s="231"/>
      <c r="G83" s="522"/>
      <c r="H83" s="522"/>
    </row>
  </sheetData>
  <sheetProtection algorithmName="SHA-512" hashValue="flwPkVLdTDuCDcEmVLjZx7pNTfZzdOlpdEZTyM1H09Ox7ZNzDiMtPXWPdnLhy++cw+BEx5tSgie3lOzsqTbR6A==" saltValue="ww54nYhoOj3aYc5b46OEmw==" spinCount="100000" sheet="1" selectLockedCells="1"/>
  <mergeCells count="55">
    <mergeCell ref="B10:H10"/>
    <mergeCell ref="B1:H1"/>
    <mergeCell ref="B2:H2"/>
    <mergeCell ref="B3:H3"/>
    <mergeCell ref="B4:H4"/>
    <mergeCell ref="B5:H5"/>
    <mergeCell ref="B6:E6"/>
    <mergeCell ref="F6:H6"/>
    <mergeCell ref="B7:E7"/>
    <mergeCell ref="F7:H7"/>
    <mergeCell ref="B8:E8"/>
    <mergeCell ref="F8:H8"/>
    <mergeCell ref="B9:H9"/>
    <mergeCell ref="B22:C22"/>
    <mergeCell ref="G22:H22"/>
    <mergeCell ref="C11:G11"/>
    <mergeCell ref="C12:G12"/>
    <mergeCell ref="C13:G13"/>
    <mergeCell ref="C14:G14"/>
    <mergeCell ref="C15:H15"/>
    <mergeCell ref="C17:H17"/>
    <mergeCell ref="B18:H18"/>
    <mergeCell ref="B19:H19"/>
    <mergeCell ref="B20:H20"/>
    <mergeCell ref="B21:C21"/>
    <mergeCell ref="G21:H21"/>
    <mergeCell ref="C38:G38"/>
    <mergeCell ref="B26:J26"/>
    <mergeCell ref="B27:J27"/>
    <mergeCell ref="B28:J28"/>
    <mergeCell ref="C30:G30"/>
    <mergeCell ref="C31:G31"/>
    <mergeCell ref="C32:G32"/>
    <mergeCell ref="C33:G33"/>
    <mergeCell ref="C34:G34"/>
    <mergeCell ref="C35:G35"/>
    <mergeCell ref="C36:G36"/>
    <mergeCell ref="C37:G37"/>
    <mergeCell ref="E42:E43"/>
    <mergeCell ref="F44:H44"/>
    <mergeCell ref="B45:C45"/>
    <mergeCell ref="F45:H45"/>
    <mergeCell ref="B46:C46"/>
    <mergeCell ref="F46:H46"/>
    <mergeCell ref="B82:C82"/>
    <mergeCell ref="F82:H82"/>
    <mergeCell ref="C83:D83"/>
    <mergeCell ref="G83:H83"/>
    <mergeCell ref="B56:H56"/>
    <mergeCell ref="B57:H57"/>
    <mergeCell ref="E78:E79"/>
    <mergeCell ref="G78:H79"/>
    <mergeCell ref="F80:H80"/>
    <mergeCell ref="B81:C81"/>
    <mergeCell ref="F81:H81"/>
  </mergeCells>
  <printOptions horizontalCentered="1"/>
  <pageMargins left="0.31496062992125984" right="0.35433070866141736" top="0.55118110236220474" bottom="0.86614173228346458" header="0.27559055118110237" footer="0.47244094488188981"/>
  <pageSetup paperSize="9" orientation="portrait" horizontalDpi="300" verticalDpi="300" r:id="rId1"/>
  <headerFooter alignWithMargins="0">
    <oddFooter>&amp;CPage - &amp;P</oddFooter>
  </headerFooter>
  <rowBreaks count="1" manualBreakCount="1">
    <brk id="23" min="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59F7-00F6-4E50-98DF-FB245E89CC31}">
  <sheetPr codeName="Sheet31"/>
  <dimension ref="A1:AA32"/>
  <sheetViews>
    <sheetView workbookViewId="0">
      <selection activeCell="I23" sqref="I23"/>
    </sheetView>
  </sheetViews>
  <sheetFormatPr defaultRowHeight="14.25" customHeight="1" x14ac:dyDescent="0.25"/>
  <cols>
    <col min="1" max="2" width="9.109375" style="162" customWidth="1"/>
    <col min="3" max="3" width="11.44140625" style="151" customWidth="1"/>
    <col min="4" max="4" width="9.109375" style="151"/>
    <col min="5" max="5" width="14.109375" style="151" customWidth="1"/>
    <col min="6" max="6" width="10.33203125" style="151" customWidth="1"/>
    <col min="7" max="7" width="10.5546875" style="151" customWidth="1"/>
    <col min="8" max="8" width="10.109375" style="151" customWidth="1"/>
    <col min="9" max="258" width="9.109375" style="151"/>
    <col min="259" max="259" width="11.44140625" style="151" customWidth="1"/>
    <col min="260" max="260" width="9.109375" style="151"/>
    <col min="261" max="261" width="14.109375" style="151" customWidth="1"/>
    <col min="262" max="262" width="10.33203125" style="151" customWidth="1"/>
    <col min="263" max="263" width="10.5546875" style="151" customWidth="1"/>
    <col min="264" max="264" width="10.109375" style="151" customWidth="1"/>
    <col min="265" max="514" width="9.109375" style="151"/>
    <col min="515" max="515" width="11.44140625" style="151" customWidth="1"/>
    <col min="516" max="516" width="9.109375" style="151"/>
    <col min="517" max="517" width="14.109375" style="151" customWidth="1"/>
    <col min="518" max="518" width="10.33203125" style="151" customWidth="1"/>
    <col min="519" max="519" width="10.5546875" style="151" customWidth="1"/>
    <col min="520" max="520" width="10.109375" style="151" customWidth="1"/>
    <col min="521" max="770" width="9.109375" style="151"/>
    <col min="771" max="771" width="11.44140625" style="151" customWidth="1"/>
    <col min="772" max="772" width="9.109375" style="151"/>
    <col min="773" max="773" width="14.109375" style="151" customWidth="1"/>
    <col min="774" max="774" width="10.33203125" style="151" customWidth="1"/>
    <col min="775" max="775" width="10.5546875" style="151" customWidth="1"/>
    <col min="776" max="776" width="10.109375" style="151" customWidth="1"/>
    <col min="777" max="1026" width="9.109375" style="151"/>
    <col min="1027" max="1027" width="11.44140625" style="151" customWidth="1"/>
    <col min="1028" max="1028" width="9.109375" style="151"/>
    <col min="1029" max="1029" width="14.109375" style="151" customWidth="1"/>
    <col min="1030" max="1030" width="10.33203125" style="151" customWidth="1"/>
    <col min="1031" max="1031" width="10.5546875" style="151" customWidth="1"/>
    <col min="1032" max="1032" width="10.109375" style="151" customWidth="1"/>
    <col min="1033" max="1282" width="9.109375" style="151"/>
    <col min="1283" max="1283" width="11.44140625" style="151" customWidth="1"/>
    <col min="1284" max="1284" width="9.109375" style="151"/>
    <col min="1285" max="1285" width="14.109375" style="151" customWidth="1"/>
    <col min="1286" max="1286" width="10.33203125" style="151" customWidth="1"/>
    <col min="1287" max="1287" width="10.5546875" style="151" customWidth="1"/>
    <col min="1288" max="1288" width="10.109375" style="151" customWidth="1"/>
    <col min="1289" max="1538" width="9.109375" style="151"/>
    <col min="1539" max="1539" width="11.44140625" style="151" customWidth="1"/>
    <col min="1540" max="1540" width="9.109375" style="151"/>
    <col min="1541" max="1541" width="14.109375" style="151" customWidth="1"/>
    <col min="1542" max="1542" width="10.33203125" style="151" customWidth="1"/>
    <col min="1543" max="1543" width="10.5546875" style="151" customWidth="1"/>
    <col min="1544" max="1544" width="10.109375" style="151" customWidth="1"/>
    <col min="1545" max="1794" width="9.109375" style="151"/>
    <col min="1795" max="1795" width="11.44140625" style="151" customWidth="1"/>
    <col min="1796" max="1796" width="9.109375" style="151"/>
    <col min="1797" max="1797" width="14.109375" style="151" customWidth="1"/>
    <col min="1798" max="1798" width="10.33203125" style="151" customWidth="1"/>
    <col min="1799" max="1799" width="10.5546875" style="151" customWidth="1"/>
    <col min="1800" max="1800" width="10.109375" style="151" customWidth="1"/>
    <col min="1801" max="2050" width="9.109375" style="151"/>
    <col min="2051" max="2051" width="11.44140625" style="151" customWidth="1"/>
    <col min="2052" max="2052" width="9.109375" style="151"/>
    <col min="2053" max="2053" width="14.109375" style="151" customWidth="1"/>
    <col min="2054" max="2054" width="10.33203125" style="151" customWidth="1"/>
    <col min="2055" max="2055" width="10.5546875" style="151" customWidth="1"/>
    <col min="2056" max="2056" width="10.109375" style="151" customWidth="1"/>
    <col min="2057" max="2306" width="9.109375" style="151"/>
    <col min="2307" max="2307" width="11.44140625" style="151" customWidth="1"/>
    <col min="2308" max="2308" width="9.109375" style="151"/>
    <col min="2309" max="2309" width="14.109375" style="151" customWidth="1"/>
    <col min="2310" max="2310" width="10.33203125" style="151" customWidth="1"/>
    <col min="2311" max="2311" width="10.5546875" style="151" customWidth="1"/>
    <col min="2312" max="2312" width="10.109375" style="151" customWidth="1"/>
    <col min="2313" max="2562" width="9.109375" style="151"/>
    <col min="2563" max="2563" width="11.44140625" style="151" customWidth="1"/>
    <col min="2564" max="2564" width="9.109375" style="151"/>
    <col min="2565" max="2565" width="14.109375" style="151" customWidth="1"/>
    <col min="2566" max="2566" width="10.33203125" style="151" customWidth="1"/>
    <col min="2567" max="2567" width="10.5546875" style="151" customWidth="1"/>
    <col min="2568" max="2568" width="10.109375" style="151" customWidth="1"/>
    <col min="2569" max="2818" width="9.109375" style="151"/>
    <col min="2819" max="2819" width="11.44140625" style="151" customWidth="1"/>
    <col min="2820" max="2820" width="9.109375" style="151"/>
    <col min="2821" max="2821" width="14.109375" style="151" customWidth="1"/>
    <col min="2822" max="2822" width="10.33203125" style="151" customWidth="1"/>
    <col min="2823" max="2823" width="10.5546875" style="151" customWidth="1"/>
    <col min="2824" max="2824" width="10.109375" style="151" customWidth="1"/>
    <col min="2825" max="3074" width="9.109375" style="151"/>
    <col min="3075" max="3075" width="11.44140625" style="151" customWidth="1"/>
    <col min="3076" max="3076" width="9.109375" style="151"/>
    <col min="3077" max="3077" width="14.109375" style="151" customWidth="1"/>
    <col min="3078" max="3078" width="10.33203125" style="151" customWidth="1"/>
    <col min="3079" max="3079" width="10.5546875" style="151" customWidth="1"/>
    <col min="3080" max="3080" width="10.109375" style="151" customWidth="1"/>
    <col min="3081" max="3330" width="9.109375" style="151"/>
    <col min="3331" max="3331" width="11.44140625" style="151" customWidth="1"/>
    <col min="3332" max="3332" width="9.109375" style="151"/>
    <col min="3333" max="3333" width="14.109375" style="151" customWidth="1"/>
    <col min="3334" max="3334" width="10.33203125" style="151" customWidth="1"/>
    <col min="3335" max="3335" width="10.5546875" style="151" customWidth="1"/>
    <col min="3336" max="3336" width="10.109375" style="151" customWidth="1"/>
    <col min="3337" max="3586" width="9.109375" style="151"/>
    <col min="3587" max="3587" width="11.44140625" style="151" customWidth="1"/>
    <col min="3588" max="3588" width="9.109375" style="151"/>
    <col min="3589" max="3589" width="14.109375" style="151" customWidth="1"/>
    <col min="3590" max="3590" width="10.33203125" style="151" customWidth="1"/>
    <col min="3591" max="3591" width="10.5546875" style="151" customWidth="1"/>
    <col min="3592" max="3592" width="10.109375" style="151" customWidth="1"/>
    <col min="3593" max="3842" width="9.109375" style="151"/>
    <col min="3843" max="3843" width="11.44140625" style="151" customWidth="1"/>
    <col min="3844" max="3844" width="9.109375" style="151"/>
    <col min="3845" max="3845" width="14.109375" style="151" customWidth="1"/>
    <col min="3846" max="3846" width="10.33203125" style="151" customWidth="1"/>
    <col min="3847" max="3847" width="10.5546875" style="151" customWidth="1"/>
    <col min="3848" max="3848" width="10.109375" style="151" customWidth="1"/>
    <col min="3849" max="4098" width="9.109375" style="151"/>
    <col min="4099" max="4099" width="11.44140625" style="151" customWidth="1"/>
    <col min="4100" max="4100" width="9.109375" style="151"/>
    <col min="4101" max="4101" width="14.109375" style="151" customWidth="1"/>
    <col min="4102" max="4102" width="10.33203125" style="151" customWidth="1"/>
    <col min="4103" max="4103" width="10.5546875" style="151" customWidth="1"/>
    <col min="4104" max="4104" width="10.109375" style="151" customWidth="1"/>
    <col min="4105" max="4354" width="9.109375" style="151"/>
    <col min="4355" max="4355" width="11.44140625" style="151" customWidth="1"/>
    <col min="4356" max="4356" width="9.109375" style="151"/>
    <col min="4357" max="4357" width="14.109375" style="151" customWidth="1"/>
    <col min="4358" max="4358" width="10.33203125" style="151" customWidth="1"/>
    <col min="4359" max="4359" width="10.5546875" style="151" customWidth="1"/>
    <col min="4360" max="4360" width="10.109375" style="151" customWidth="1"/>
    <col min="4361" max="4610" width="9.109375" style="151"/>
    <col min="4611" max="4611" width="11.44140625" style="151" customWidth="1"/>
    <col min="4612" max="4612" width="9.109375" style="151"/>
    <col min="4613" max="4613" width="14.109375" style="151" customWidth="1"/>
    <col min="4614" max="4614" width="10.33203125" style="151" customWidth="1"/>
    <col min="4615" max="4615" width="10.5546875" style="151" customWidth="1"/>
    <col min="4616" max="4616" width="10.109375" style="151" customWidth="1"/>
    <col min="4617" max="4866" width="9.109375" style="151"/>
    <col min="4867" max="4867" width="11.44140625" style="151" customWidth="1"/>
    <col min="4868" max="4868" width="9.109375" style="151"/>
    <col min="4869" max="4869" width="14.109375" style="151" customWidth="1"/>
    <col min="4870" max="4870" width="10.33203125" style="151" customWidth="1"/>
    <col min="4871" max="4871" width="10.5546875" style="151" customWidth="1"/>
    <col min="4872" max="4872" width="10.109375" style="151" customWidth="1"/>
    <col min="4873" max="5122" width="9.109375" style="151"/>
    <col min="5123" max="5123" width="11.44140625" style="151" customWidth="1"/>
    <col min="5124" max="5124" width="9.109375" style="151"/>
    <col min="5125" max="5125" width="14.109375" style="151" customWidth="1"/>
    <col min="5126" max="5126" width="10.33203125" style="151" customWidth="1"/>
    <col min="5127" max="5127" width="10.5546875" style="151" customWidth="1"/>
    <col min="5128" max="5128" width="10.109375" style="151" customWidth="1"/>
    <col min="5129" max="5378" width="9.109375" style="151"/>
    <col min="5379" max="5379" width="11.44140625" style="151" customWidth="1"/>
    <col min="5380" max="5380" width="9.109375" style="151"/>
    <col min="5381" max="5381" width="14.109375" style="151" customWidth="1"/>
    <col min="5382" max="5382" width="10.33203125" style="151" customWidth="1"/>
    <col min="5383" max="5383" width="10.5546875" style="151" customWidth="1"/>
    <col min="5384" max="5384" width="10.109375" style="151" customWidth="1"/>
    <col min="5385" max="5634" width="9.109375" style="151"/>
    <col min="5635" max="5635" width="11.44140625" style="151" customWidth="1"/>
    <col min="5636" max="5636" width="9.109375" style="151"/>
    <col min="5637" max="5637" width="14.109375" style="151" customWidth="1"/>
    <col min="5638" max="5638" width="10.33203125" style="151" customWidth="1"/>
    <col min="5639" max="5639" width="10.5546875" style="151" customWidth="1"/>
    <col min="5640" max="5640" width="10.109375" style="151" customWidth="1"/>
    <col min="5641" max="5890" width="9.109375" style="151"/>
    <col min="5891" max="5891" width="11.44140625" style="151" customWidth="1"/>
    <col min="5892" max="5892" width="9.109375" style="151"/>
    <col min="5893" max="5893" width="14.109375" style="151" customWidth="1"/>
    <col min="5894" max="5894" width="10.33203125" style="151" customWidth="1"/>
    <col min="5895" max="5895" width="10.5546875" style="151" customWidth="1"/>
    <col min="5896" max="5896" width="10.109375" style="151" customWidth="1"/>
    <col min="5897" max="6146" width="9.109375" style="151"/>
    <col min="6147" max="6147" width="11.44140625" style="151" customWidth="1"/>
    <col min="6148" max="6148" width="9.109375" style="151"/>
    <col min="6149" max="6149" width="14.109375" style="151" customWidth="1"/>
    <col min="6150" max="6150" width="10.33203125" style="151" customWidth="1"/>
    <col min="6151" max="6151" width="10.5546875" style="151" customWidth="1"/>
    <col min="6152" max="6152" width="10.109375" style="151" customWidth="1"/>
    <col min="6153" max="6402" width="9.109375" style="151"/>
    <col min="6403" max="6403" width="11.44140625" style="151" customWidth="1"/>
    <col min="6404" max="6404" width="9.109375" style="151"/>
    <col min="6405" max="6405" width="14.109375" style="151" customWidth="1"/>
    <col min="6406" max="6406" width="10.33203125" style="151" customWidth="1"/>
    <col min="6407" max="6407" width="10.5546875" style="151" customWidth="1"/>
    <col min="6408" max="6408" width="10.109375" style="151" customWidth="1"/>
    <col min="6409" max="6658" width="9.109375" style="151"/>
    <col min="6659" max="6659" width="11.44140625" style="151" customWidth="1"/>
    <col min="6660" max="6660" width="9.109375" style="151"/>
    <col min="6661" max="6661" width="14.109375" style="151" customWidth="1"/>
    <col min="6662" max="6662" width="10.33203125" style="151" customWidth="1"/>
    <col min="6663" max="6663" width="10.5546875" style="151" customWidth="1"/>
    <col min="6664" max="6664" width="10.109375" style="151" customWidth="1"/>
    <col min="6665" max="6914" width="9.109375" style="151"/>
    <col min="6915" max="6915" width="11.44140625" style="151" customWidth="1"/>
    <col min="6916" max="6916" width="9.109375" style="151"/>
    <col min="6917" max="6917" width="14.109375" style="151" customWidth="1"/>
    <col min="6918" max="6918" width="10.33203125" style="151" customWidth="1"/>
    <col min="6919" max="6919" width="10.5546875" style="151" customWidth="1"/>
    <col min="6920" max="6920" width="10.109375" style="151" customWidth="1"/>
    <col min="6921" max="7170" width="9.109375" style="151"/>
    <col min="7171" max="7171" width="11.44140625" style="151" customWidth="1"/>
    <col min="7172" max="7172" width="9.109375" style="151"/>
    <col min="7173" max="7173" width="14.109375" style="151" customWidth="1"/>
    <col min="7174" max="7174" width="10.33203125" style="151" customWidth="1"/>
    <col min="7175" max="7175" width="10.5546875" style="151" customWidth="1"/>
    <col min="7176" max="7176" width="10.109375" style="151" customWidth="1"/>
    <col min="7177" max="7426" width="9.109375" style="151"/>
    <col min="7427" max="7427" width="11.44140625" style="151" customWidth="1"/>
    <col min="7428" max="7428" width="9.109375" style="151"/>
    <col min="7429" max="7429" width="14.109375" style="151" customWidth="1"/>
    <col min="7430" max="7430" width="10.33203125" style="151" customWidth="1"/>
    <col min="7431" max="7431" width="10.5546875" style="151" customWidth="1"/>
    <col min="7432" max="7432" width="10.109375" style="151" customWidth="1"/>
    <col min="7433" max="7682" width="9.109375" style="151"/>
    <col min="7683" max="7683" width="11.44140625" style="151" customWidth="1"/>
    <col min="7684" max="7684" width="9.109375" style="151"/>
    <col min="7685" max="7685" width="14.109375" style="151" customWidth="1"/>
    <col min="7686" max="7686" width="10.33203125" style="151" customWidth="1"/>
    <col min="7687" max="7687" width="10.5546875" style="151" customWidth="1"/>
    <col min="7688" max="7688" width="10.109375" style="151" customWidth="1"/>
    <col min="7689" max="7938" width="9.109375" style="151"/>
    <col min="7939" max="7939" width="11.44140625" style="151" customWidth="1"/>
    <col min="7940" max="7940" width="9.109375" style="151"/>
    <col min="7941" max="7941" width="14.109375" style="151" customWidth="1"/>
    <col min="7942" max="7942" width="10.33203125" style="151" customWidth="1"/>
    <col min="7943" max="7943" width="10.5546875" style="151" customWidth="1"/>
    <col min="7944" max="7944" width="10.109375" style="151" customWidth="1"/>
    <col min="7945" max="8194" width="9.109375" style="151"/>
    <col min="8195" max="8195" width="11.44140625" style="151" customWidth="1"/>
    <col min="8196" max="8196" width="9.109375" style="151"/>
    <col min="8197" max="8197" width="14.109375" style="151" customWidth="1"/>
    <col min="8198" max="8198" width="10.33203125" style="151" customWidth="1"/>
    <col min="8199" max="8199" width="10.5546875" style="151" customWidth="1"/>
    <col min="8200" max="8200" width="10.109375" style="151" customWidth="1"/>
    <col min="8201" max="8450" width="9.109375" style="151"/>
    <col min="8451" max="8451" width="11.44140625" style="151" customWidth="1"/>
    <col min="8452" max="8452" width="9.109375" style="151"/>
    <col min="8453" max="8453" width="14.109375" style="151" customWidth="1"/>
    <col min="8454" max="8454" width="10.33203125" style="151" customWidth="1"/>
    <col min="8455" max="8455" width="10.5546875" style="151" customWidth="1"/>
    <col min="8456" max="8456" width="10.109375" style="151" customWidth="1"/>
    <col min="8457" max="8706" width="9.109375" style="151"/>
    <col min="8707" max="8707" width="11.44140625" style="151" customWidth="1"/>
    <col min="8708" max="8708" width="9.109375" style="151"/>
    <col min="8709" max="8709" width="14.109375" style="151" customWidth="1"/>
    <col min="8710" max="8710" width="10.33203125" style="151" customWidth="1"/>
    <col min="8711" max="8711" width="10.5546875" style="151" customWidth="1"/>
    <col min="8712" max="8712" width="10.109375" style="151" customWidth="1"/>
    <col min="8713" max="8962" width="9.109375" style="151"/>
    <col min="8963" max="8963" width="11.44140625" style="151" customWidth="1"/>
    <col min="8964" max="8964" width="9.109375" style="151"/>
    <col min="8965" max="8965" width="14.109375" style="151" customWidth="1"/>
    <col min="8966" max="8966" width="10.33203125" style="151" customWidth="1"/>
    <col min="8967" max="8967" width="10.5546875" style="151" customWidth="1"/>
    <col min="8968" max="8968" width="10.109375" style="151" customWidth="1"/>
    <col min="8969" max="9218" width="9.109375" style="151"/>
    <col min="9219" max="9219" width="11.44140625" style="151" customWidth="1"/>
    <col min="9220" max="9220" width="9.109375" style="151"/>
    <col min="9221" max="9221" width="14.109375" style="151" customWidth="1"/>
    <col min="9222" max="9222" width="10.33203125" style="151" customWidth="1"/>
    <col min="9223" max="9223" width="10.5546875" style="151" customWidth="1"/>
    <col min="9224" max="9224" width="10.109375" style="151" customWidth="1"/>
    <col min="9225" max="9474" width="9.109375" style="151"/>
    <col min="9475" max="9475" width="11.44140625" style="151" customWidth="1"/>
    <col min="9476" max="9476" width="9.109375" style="151"/>
    <col min="9477" max="9477" width="14.109375" style="151" customWidth="1"/>
    <col min="9478" max="9478" width="10.33203125" style="151" customWidth="1"/>
    <col min="9479" max="9479" width="10.5546875" style="151" customWidth="1"/>
    <col min="9480" max="9480" width="10.109375" style="151" customWidth="1"/>
    <col min="9481" max="9730" width="9.109375" style="151"/>
    <col min="9731" max="9731" width="11.44140625" style="151" customWidth="1"/>
    <col min="9732" max="9732" width="9.109375" style="151"/>
    <col min="9733" max="9733" width="14.109375" style="151" customWidth="1"/>
    <col min="9734" max="9734" width="10.33203125" style="151" customWidth="1"/>
    <col min="9735" max="9735" width="10.5546875" style="151" customWidth="1"/>
    <col min="9736" max="9736" width="10.109375" style="151" customWidth="1"/>
    <col min="9737" max="9986" width="9.109375" style="151"/>
    <col min="9987" max="9987" width="11.44140625" style="151" customWidth="1"/>
    <col min="9988" max="9988" width="9.109375" style="151"/>
    <col min="9989" max="9989" width="14.109375" style="151" customWidth="1"/>
    <col min="9990" max="9990" width="10.33203125" style="151" customWidth="1"/>
    <col min="9991" max="9991" width="10.5546875" style="151" customWidth="1"/>
    <col min="9992" max="9992" width="10.109375" style="151" customWidth="1"/>
    <col min="9993" max="10242" width="9.109375" style="151"/>
    <col min="10243" max="10243" width="11.44140625" style="151" customWidth="1"/>
    <col min="10244" max="10244" width="9.109375" style="151"/>
    <col min="10245" max="10245" width="14.109375" style="151" customWidth="1"/>
    <col min="10246" max="10246" width="10.33203125" style="151" customWidth="1"/>
    <col min="10247" max="10247" width="10.5546875" style="151" customWidth="1"/>
    <col min="10248" max="10248" width="10.109375" style="151" customWidth="1"/>
    <col min="10249" max="10498" width="9.109375" style="151"/>
    <col min="10499" max="10499" width="11.44140625" style="151" customWidth="1"/>
    <col min="10500" max="10500" width="9.109375" style="151"/>
    <col min="10501" max="10501" width="14.109375" style="151" customWidth="1"/>
    <col min="10502" max="10502" width="10.33203125" style="151" customWidth="1"/>
    <col min="10503" max="10503" width="10.5546875" style="151" customWidth="1"/>
    <col min="10504" max="10504" width="10.109375" style="151" customWidth="1"/>
    <col min="10505" max="10754" width="9.109375" style="151"/>
    <col min="10755" max="10755" width="11.44140625" style="151" customWidth="1"/>
    <col min="10756" max="10756" width="9.109375" style="151"/>
    <col min="10757" max="10757" width="14.109375" style="151" customWidth="1"/>
    <col min="10758" max="10758" width="10.33203125" style="151" customWidth="1"/>
    <col min="10759" max="10759" width="10.5546875" style="151" customWidth="1"/>
    <col min="10760" max="10760" width="10.109375" style="151" customWidth="1"/>
    <col min="10761" max="11010" width="9.109375" style="151"/>
    <col min="11011" max="11011" width="11.44140625" style="151" customWidth="1"/>
    <col min="11012" max="11012" width="9.109375" style="151"/>
    <col min="11013" max="11013" width="14.109375" style="151" customWidth="1"/>
    <col min="11014" max="11014" width="10.33203125" style="151" customWidth="1"/>
    <col min="11015" max="11015" width="10.5546875" style="151" customWidth="1"/>
    <col min="11016" max="11016" width="10.109375" style="151" customWidth="1"/>
    <col min="11017" max="11266" width="9.109375" style="151"/>
    <col min="11267" max="11267" width="11.44140625" style="151" customWidth="1"/>
    <col min="11268" max="11268" width="9.109375" style="151"/>
    <col min="11269" max="11269" width="14.109375" style="151" customWidth="1"/>
    <col min="11270" max="11270" width="10.33203125" style="151" customWidth="1"/>
    <col min="11271" max="11271" width="10.5546875" style="151" customWidth="1"/>
    <col min="11272" max="11272" width="10.109375" style="151" customWidth="1"/>
    <col min="11273" max="11522" width="9.109375" style="151"/>
    <col min="11523" max="11523" width="11.44140625" style="151" customWidth="1"/>
    <col min="11524" max="11524" width="9.109375" style="151"/>
    <col min="11525" max="11525" width="14.109375" style="151" customWidth="1"/>
    <col min="11526" max="11526" width="10.33203125" style="151" customWidth="1"/>
    <col min="11527" max="11527" width="10.5546875" style="151" customWidth="1"/>
    <col min="11528" max="11528" width="10.109375" style="151" customWidth="1"/>
    <col min="11529" max="11778" width="9.109375" style="151"/>
    <col min="11779" max="11779" width="11.44140625" style="151" customWidth="1"/>
    <col min="11780" max="11780" width="9.109375" style="151"/>
    <col min="11781" max="11781" width="14.109375" style="151" customWidth="1"/>
    <col min="11782" max="11782" width="10.33203125" style="151" customWidth="1"/>
    <col min="11783" max="11783" width="10.5546875" style="151" customWidth="1"/>
    <col min="11784" max="11784" width="10.109375" style="151" customWidth="1"/>
    <col min="11785" max="12034" width="9.109375" style="151"/>
    <col min="12035" max="12035" width="11.44140625" style="151" customWidth="1"/>
    <col min="12036" max="12036" width="9.109375" style="151"/>
    <col min="12037" max="12037" width="14.109375" style="151" customWidth="1"/>
    <col min="12038" max="12038" width="10.33203125" style="151" customWidth="1"/>
    <col min="12039" max="12039" width="10.5546875" style="151" customWidth="1"/>
    <col min="12040" max="12040" width="10.109375" style="151" customWidth="1"/>
    <col min="12041" max="12290" width="9.109375" style="151"/>
    <col min="12291" max="12291" width="11.44140625" style="151" customWidth="1"/>
    <col min="12292" max="12292" width="9.109375" style="151"/>
    <col min="12293" max="12293" width="14.109375" style="151" customWidth="1"/>
    <col min="12294" max="12294" width="10.33203125" style="151" customWidth="1"/>
    <col min="12295" max="12295" width="10.5546875" style="151" customWidth="1"/>
    <col min="12296" max="12296" width="10.109375" style="151" customWidth="1"/>
    <col min="12297" max="12546" width="9.109375" style="151"/>
    <col min="12547" max="12547" width="11.44140625" style="151" customWidth="1"/>
    <col min="12548" max="12548" width="9.109375" style="151"/>
    <col min="12549" max="12549" width="14.109375" style="151" customWidth="1"/>
    <col min="12550" max="12550" width="10.33203125" style="151" customWidth="1"/>
    <col min="12551" max="12551" width="10.5546875" style="151" customWidth="1"/>
    <col min="12552" max="12552" width="10.109375" style="151" customWidth="1"/>
    <col min="12553" max="12802" width="9.109375" style="151"/>
    <col min="12803" max="12803" width="11.44140625" style="151" customWidth="1"/>
    <col min="12804" max="12804" width="9.109375" style="151"/>
    <col min="12805" max="12805" width="14.109375" style="151" customWidth="1"/>
    <col min="12806" max="12806" width="10.33203125" style="151" customWidth="1"/>
    <col min="12807" max="12807" width="10.5546875" style="151" customWidth="1"/>
    <col min="12808" max="12808" width="10.109375" style="151" customWidth="1"/>
    <col min="12809" max="13058" width="9.109375" style="151"/>
    <col min="13059" max="13059" width="11.44140625" style="151" customWidth="1"/>
    <col min="13060" max="13060" width="9.109375" style="151"/>
    <col min="13061" max="13061" width="14.109375" style="151" customWidth="1"/>
    <col min="13062" max="13062" width="10.33203125" style="151" customWidth="1"/>
    <col min="13063" max="13063" width="10.5546875" style="151" customWidth="1"/>
    <col min="13064" max="13064" width="10.109375" style="151" customWidth="1"/>
    <col min="13065" max="13314" width="9.109375" style="151"/>
    <col min="13315" max="13315" width="11.44140625" style="151" customWidth="1"/>
    <col min="13316" max="13316" width="9.109375" style="151"/>
    <col min="13317" max="13317" width="14.109375" style="151" customWidth="1"/>
    <col min="13318" max="13318" width="10.33203125" style="151" customWidth="1"/>
    <col min="13319" max="13319" width="10.5546875" style="151" customWidth="1"/>
    <col min="13320" max="13320" width="10.109375" style="151" customWidth="1"/>
    <col min="13321" max="13570" width="9.109375" style="151"/>
    <col min="13571" max="13571" width="11.44140625" style="151" customWidth="1"/>
    <col min="13572" max="13572" width="9.109375" style="151"/>
    <col min="13573" max="13573" width="14.109375" style="151" customWidth="1"/>
    <col min="13574" max="13574" width="10.33203125" style="151" customWidth="1"/>
    <col min="13575" max="13575" width="10.5546875" style="151" customWidth="1"/>
    <col min="13576" max="13576" width="10.109375" style="151" customWidth="1"/>
    <col min="13577" max="13826" width="9.109375" style="151"/>
    <col min="13827" max="13827" width="11.44140625" style="151" customWidth="1"/>
    <col min="13828" max="13828" width="9.109375" style="151"/>
    <col min="13829" max="13829" width="14.109375" style="151" customWidth="1"/>
    <col min="13830" max="13830" width="10.33203125" style="151" customWidth="1"/>
    <col min="13831" max="13831" width="10.5546875" style="151" customWidth="1"/>
    <col min="13832" max="13832" width="10.109375" style="151" customWidth="1"/>
    <col min="13833" max="14082" width="9.109375" style="151"/>
    <col min="14083" max="14083" width="11.44140625" style="151" customWidth="1"/>
    <col min="14084" max="14084" width="9.109375" style="151"/>
    <col min="14085" max="14085" width="14.109375" style="151" customWidth="1"/>
    <col min="14086" max="14086" width="10.33203125" style="151" customWidth="1"/>
    <col min="14087" max="14087" width="10.5546875" style="151" customWidth="1"/>
    <col min="14088" max="14088" width="10.109375" style="151" customWidth="1"/>
    <col min="14089" max="14338" width="9.109375" style="151"/>
    <col min="14339" max="14339" width="11.44140625" style="151" customWidth="1"/>
    <col min="14340" max="14340" width="9.109375" style="151"/>
    <col min="14341" max="14341" width="14.109375" style="151" customWidth="1"/>
    <col min="14342" max="14342" width="10.33203125" style="151" customWidth="1"/>
    <col min="14343" max="14343" width="10.5546875" style="151" customWidth="1"/>
    <col min="14344" max="14344" width="10.109375" style="151" customWidth="1"/>
    <col min="14345" max="14594" width="9.109375" style="151"/>
    <col min="14595" max="14595" width="11.44140625" style="151" customWidth="1"/>
    <col min="14596" max="14596" width="9.109375" style="151"/>
    <col min="14597" max="14597" width="14.109375" style="151" customWidth="1"/>
    <col min="14598" max="14598" width="10.33203125" style="151" customWidth="1"/>
    <col min="14599" max="14599" width="10.5546875" style="151" customWidth="1"/>
    <col min="14600" max="14600" width="10.109375" style="151" customWidth="1"/>
    <col min="14601" max="14850" width="9.109375" style="151"/>
    <col min="14851" max="14851" width="11.44140625" style="151" customWidth="1"/>
    <col min="14852" max="14852" width="9.109375" style="151"/>
    <col min="14853" max="14853" width="14.109375" style="151" customWidth="1"/>
    <col min="14854" max="14854" width="10.33203125" style="151" customWidth="1"/>
    <col min="14855" max="14855" width="10.5546875" style="151" customWidth="1"/>
    <col min="14856" max="14856" width="10.109375" style="151" customWidth="1"/>
    <col min="14857" max="15106" width="9.109375" style="151"/>
    <col min="15107" max="15107" width="11.44140625" style="151" customWidth="1"/>
    <col min="15108" max="15108" width="9.109375" style="151"/>
    <col min="15109" max="15109" width="14.109375" style="151" customWidth="1"/>
    <col min="15110" max="15110" width="10.33203125" style="151" customWidth="1"/>
    <col min="15111" max="15111" width="10.5546875" style="151" customWidth="1"/>
    <col min="15112" max="15112" width="10.109375" style="151" customWidth="1"/>
    <col min="15113" max="15362" width="9.109375" style="151"/>
    <col min="15363" max="15363" width="11.44140625" style="151" customWidth="1"/>
    <col min="15364" max="15364" width="9.109375" style="151"/>
    <col min="15365" max="15365" width="14.109375" style="151" customWidth="1"/>
    <col min="15366" max="15366" width="10.33203125" style="151" customWidth="1"/>
    <col min="15367" max="15367" width="10.5546875" style="151" customWidth="1"/>
    <col min="15368" max="15368" width="10.109375" style="151" customWidth="1"/>
    <col min="15369" max="15618" width="9.109375" style="151"/>
    <col min="15619" max="15619" width="11.44140625" style="151" customWidth="1"/>
    <col min="15620" max="15620" width="9.109375" style="151"/>
    <col min="15621" max="15621" width="14.109375" style="151" customWidth="1"/>
    <col min="15622" max="15622" width="10.33203125" style="151" customWidth="1"/>
    <col min="15623" max="15623" width="10.5546875" style="151" customWidth="1"/>
    <col min="15624" max="15624" width="10.109375" style="151" customWidth="1"/>
    <col min="15625" max="15874" width="9.109375" style="151"/>
    <col min="15875" max="15875" width="11.44140625" style="151" customWidth="1"/>
    <col min="15876" max="15876" width="9.109375" style="151"/>
    <col min="15877" max="15877" width="14.109375" style="151" customWidth="1"/>
    <col min="15878" max="15878" width="10.33203125" style="151" customWidth="1"/>
    <col min="15879" max="15879" width="10.5546875" style="151" customWidth="1"/>
    <col min="15880" max="15880" width="10.109375" style="151" customWidth="1"/>
    <col min="15881" max="16130" width="9.109375" style="151"/>
    <col min="16131" max="16131" width="11.44140625" style="151" customWidth="1"/>
    <col min="16132" max="16132" width="9.109375" style="151"/>
    <col min="16133" max="16133" width="14.109375" style="151" customWidth="1"/>
    <col min="16134" max="16134" width="10.33203125" style="151" customWidth="1"/>
    <col min="16135" max="16135" width="10.5546875" style="151" customWidth="1"/>
    <col min="16136" max="16136" width="10.109375" style="151" customWidth="1"/>
    <col min="16137" max="16384" width="9.109375" style="151"/>
  </cols>
  <sheetData>
    <row r="1" spans="1:27" ht="14.25" customHeight="1" x14ac:dyDescent="0.25">
      <c r="E1" s="284"/>
      <c r="F1" s="285" t="s">
        <v>288</v>
      </c>
      <c r="G1" s="285" t="s">
        <v>289</v>
      </c>
      <c r="H1" s="285" t="s">
        <v>290</v>
      </c>
      <c r="I1" s="285" t="s">
        <v>291</v>
      </c>
      <c r="J1" s="285" t="s">
        <v>292</v>
      </c>
      <c r="K1" s="285" t="s">
        <v>293</v>
      </c>
      <c r="L1" s="285" t="s">
        <v>294</v>
      </c>
      <c r="M1" s="285" t="s">
        <v>295</v>
      </c>
      <c r="N1" s="285" t="s">
        <v>296</v>
      </c>
      <c r="O1" s="285" t="s">
        <v>297</v>
      </c>
      <c r="P1" s="285" t="s">
        <v>298</v>
      </c>
      <c r="Q1" s="285" t="s">
        <v>299</v>
      </c>
      <c r="R1" s="285" t="s">
        <v>300</v>
      </c>
      <c r="S1" s="285" t="s">
        <v>301</v>
      </c>
      <c r="T1" s="285" t="s">
        <v>302</v>
      </c>
      <c r="U1" s="285" t="s">
        <v>303</v>
      </c>
      <c r="V1" s="233"/>
      <c r="W1" s="233" t="s">
        <v>288</v>
      </c>
      <c r="X1" s="234" t="s">
        <v>289</v>
      </c>
      <c r="Y1" s="233" t="s">
        <v>290</v>
      </c>
      <c r="Z1" s="233" t="s">
        <v>291</v>
      </c>
      <c r="AA1" s="233" t="s">
        <v>292</v>
      </c>
    </row>
    <row r="2" spans="1:27" ht="14.25" customHeight="1" x14ac:dyDescent="0.25">
      <c r="A2" s="162">
        <v>1</v>
      </c>
      <c r="B2" s="162" t="s">
        <v>413</v>
      </c>
      <c r="C2" s="151" t="s">
        <v>414</v>
      </c>
      <c r="E2" s="286" t="s">
        <v>285</v>
      </c>
      <c r="F2" s="287">
        <f>ROUND((IF((Data!$F$25&lt;=250000),0,IF(AND((Data!$F$25&gt;250000),(Data!$F$25&lt;=500000)),(Data!$F$25-250000)*0.05,IF(AND((Data!$F$25&gt;500000),(Data!$F$25&lt;=1000000)),(12500+((Data!$F$25-500000)*0.2)),(112500+(Data!$F$25-1000000)*0.3))))),0)</f>
        <v>0</v>
      </c>
      <c r="G2" s="287">
        <f>ROUND((IF((Data!$G$25&lt;=250000),0,IF(AND((Data!$G$25&gt;250000),(Data!$G$25&lt;=500000)),(Data!$G$25-250000)*0.05,IF(AND((Data!$G$25&gt;500000),(Data!$G$25&lt;=1000000)),(12500+((Data!$G$25-500000)*0.2)),(112500+(Data!$G$25-1000000)*0.3))))),0)</f>
        <v>0</v>
      </c>
      <c r="H2" s="284">
        <f>ROUND((IF((Data!$H$25&lt;=250000),0,IF(AND((Data!$H$25&gt;250000),(Data!$H$25&lt;=500000)),(Data!$H$25-250000)*0.05,IF(AND((Data!$H$25&gt;500000),(Data!$H$25&lt;=1000000)),(12500+((Data!$H$25-500000)*0.2)),(112500+(Data!$H$25-1000000)*0.3))))),0)</f>
        <v>0</v>
      </c>
      <c r="I2" s="284">
        <f>ROUND((IF((Data!$I$25&lt;=250000),0,IF(AND((Data!$I$25&gt;250000),(Data!$I$25&lt;=500000)),(Data!$I$25-250000)*0.05,IF(AND((Data!$I$25&gt;500000),(Data!$I$25&lt;=1000000)),(12500+((Data!$I$25-500000)*0.2)),(112500+(Data!$I$25-1000000)*0.3))))),0)</f>
        <v>0</v>
      </c>
      <c r="J2" s="284">
        <f>ROUND((IF((Data!$J$25&lt;=250000),0,IF(AND((Data!$J$25&gt;250000),(Data!$J$25&lt;=500000)),(Data!$J$25-250000)*0.05,IF(AND((Data!$J$25&gt;500000),(Data!$J$25&lt;=1000000)),(12500+((Data!$J$25-500000)*0.2)),(112500+(Data!$J$25-1000000)*0.3))))),0)</f>
        <v>0</v>
      </c>
      <c r="K2" s="288">
        <f>ROUND((IF((Data!$K$25&lt;=250000),0,IF(AND((Data!$K$25&gt;250000),(Data!$K$25&lt;=500000)),(Data!$K$25-250000)*0.05, IF(AND((Data!$K$25&gt;500000),(Data!$K$25&lt;=1000000)),(12500+(Data!$K$25-500000)*0.2),(112500+(Data!$K$25-1000000)*0.3))))),0)</f>
        <v>0</v>
      </c>
      <c r="L2" s="288">
        <f>ROUND((IF((Data!$L$25&lt;=250000),0,IF(AND((Data!$L$25&gt;250000),(Data!$L$25&lt;=500000)),(Data!$L$25-250000)*0.05, IF(AND((Data!$L$25&gt;500000),(Data!$L$25&lt;=1000000)),(12500+(Data!$L$25-500000)*0.2),(112500+(Data!$L$25-1000000)*0.3))))),0)</f>
        <v>0</v>
      </c>
      <c r="M2" s="288">
        <f>ROUND((IF((Data!$M$25&lt;=250000),0,IF(AND((Data!$M$25&gt;250000),(Data!$M$25&lt;=500000)),(Data!$M$25-250000)*0.05, IF(AND((Data!$M$25&gt;500000),(Data!$M$25&lt;=1000000)),(12500+(Data!$M$25-500000)*0.2),(112500+(Data!$M$25-1000000)*0.3))))),0)</f>
        <v>0</v>
      </c>
      <c r="N2" s="288">
        <f>ROUND((IF((Data!$N$25&lt;=250000),0,IF(AND((Data!$N$25&gt;250000),(Data!$N$25&lt;=500000)),(Data!$N$25-250000)*0.1, IF(AND((Data!$N$25&gt;500000),(Data!$N$25&lt;=1000000)),(25000+(Data!$N$25-500000)*0.2),(125000+(Data!$N$25-1000000)*0.3))))),0)</f>
        <v>0</v>
      </c>
      <c r="O2" s="288">
        <f>ROUND((IF((Data!O$25&lt;=250000),0,IF(AND((Data!O$25&gt;250000),(Data!O$25&lt;=500000)),(Data!O$25-250000)*0.1, IF(AND((Data!O$25&gt;500000),(Data!O$25&lt;=1000000)),(25000+(Data!O$25-500000)*0.2),(125000+(Data!O$25-1000000)*0.3))))),0)</f>
        <v>0</v>
      </c>
      <c r="P2" s="288">
        <f>ROUND((IF((Data!P$25&lt;=250000),0,IF(AND((Data!P$25&gt;250000),(Data!P$25&lt;=500000)),(Data!P$25-250000)*0.1, IF(AND((Data!P$25&gt;500000),(Data!P$25&lt;=1000000)),(25000+(Data!P$25-500000)*0.2),(125000+(Data!P$25-1000000)*0.3))))),0)</f>
        <v>0</v>
      </c>
      <c r="Q2" s="288">
        <f>ROUND((IF((Data!Q$25&lt;=200000),0,IF(AND((Data!Q$25&gt;200000),(Data!Q$25&lt;=500000)),(Data!Q$25-200000)*0.1, IF(AND((Data!Q$25&gt;500000),(Data!Q$25&lt;=1000000)),(30000+(Data!Q$25-500000)*0.2),(130000+(Data!Q$25-1000000)*0.3))))),0)</f>
        <v>0</v>
      </c>
      <c r="R2" s="288">
        <f>ROUND((IF((Data!R$25&lt;=200000),0,IF(AND((Data!R$25&gt;200000),(Data!R$25&lt;=500000)),(Data!R$25-200000)*0.1, IF(AND((Data!R$25&gt;500000),(Data!R$25&lt;=1000000)),(30000+(Data!R$25-500000)*0.2),(130000+(Data!R$25-1000000)*0.3))))),0)</f>
        <v>0</v>
      </c>
      <c r="S2" s="288">
        <f>ROUND((IF((Data!S$25&lt;=180000),0,IF(AND((Data!S$25&gt;180000),(Data!S$25&lt;=500000)),(Data!S$25-180000)*0.1, IF(AND((Data!S$25&gt;500000),(Data!S$25&lt;=800000)),(32000+(Data!S$25-500000)*0.2),(92000+(Data!S$25-800000)*0.3))))),0)</f>
        <v>0</v>
      </c>
      <c r="T2" s="288">
        <f>ROUND((IF((Data!T$25&lt;=160000),0,IF(AND((Data!T$25&gt;160000),(Data!T$25&lt;=500000)),(Data!T$25-160000)*0.1, IF(AND((Data!T$25&gt;500000),(Data!T$25&lt;=800000)),(34000+(Data!T$25-500000)*0.2),(94000+(Data!T$25-800000)*0.3))))),0)</f>
        <v>0</v>
      </c>
      <c r="U2" s="288">
        <f>ROUND((IF((Data!U$25&lt;=160000),0,IF(AND((Data!U$25&gt;160000),(Data!U$25&lt;=300000)),(Data!U$25-160000)*0.1, IF(AND((Data!U$25&gt;300000),(Data!U$25&lt;=500000)),(14000+(Data!U$25-300000)*0.2),(54000+(Data!U$25-500000)*0.3))))),0)</f>
        <v>0</v>
      </c>
      <c r="V2" s="192"/>
      <c r="W2" s="287">
        <f>ROUND(((IF((Data!F$25&lt;=300000),0,IF(AND((Data!F$25&gt;300000),(Data!F$25&lt;=700000)),(Data!F$25-300000)*0.05, IF(AND((Data!F$25&gt;700000),(Data!F$25&lt;=1000000)),(20000+(Data!F$25-700000)*0.1),IF(AND((Data!F$25&gt;1000000),(Data!F$25&lt;=1200000)),(50000+(Data!F$25-1000000)*0.15),IF(AND((Data!F$25&gt;1200000),(Data!F$25&lt;=1500000)),(80000+(Data!F$25-1200000)*0.2),(140000+(Data!F$25-1500000)*0.3)))))))),0)</f>
        <v>0</v>
      </c>
      <c r="X2" s="287">
        <f>ROUND(((IF((Data!G$25&lt;=300000),0,IF(AND((Data!G$25&gt;300000),(Data!G$25&lt;=600000)),(Data!G$25-300000)*0.05,IF(AND((Data!G$25&gt;600000),(Data!G$25&lt;=900000)),(15000+(Data!G$25-600000)*0.1),IF(AND((Data!G$25&gt;900000),(Data!G$25&lt;=1200000)),(45000+(Data!G$25-900000)*0.15),IF(AND((Data!G$25&gt;1200000),(Data!G$25&lt;=1500000)),(90000+(Data!G$25-1200000)*0.2),(150000+(Data!G$25-1500000)*0.3)))))))),0)</f>
        <v>0</v>
      </c>
      <c r="Y2" s="284">
        <f>ROUND(((IF((Data!H$25&lt;=250000),0,IF(AND((Data!H$25&gt;250000),(Data!H$25&lt;=500000)),(Data!H$25-250000)*0.05,IF(AND((Data!H$25&gt;500000),(Data!H$25&lt;=750000)),(12500+(Data!H$25-500000)*0.1),IF(AND((Data!H$25&gt;750000),(Data!H$25&lt;=1000000)),(37500+(Data!H$25-750000)*0.15),IF(AND((Data!H$25&gt;1000000),(Data!H$25&lt;=1250000)),(75000+(Data!H$25-1000000)*0.2),IF(AND((Data!H$25&gt;1250000),(Data!H$25&lt;=1500000)),(125000+(Data!H$25-1250000)*0.25), (187500+(Data!H$25-1500000)*0.3))))))))),0)</f>
        <v>0</v>
      </c>
      <c r="Z2" s="284">
        <f>ROUND(((IF((Data!I$25&lt;=250000),0,IF(AND((Data!I$25&gt;250000),(Data!I$25&lt;=500000)),(Data!I$25-250000)*0.05,IF(AND((Data!I$25&gt;500000),(Data!I$25&lt;=750000)),(12500+(Data!I$25-500000)*0.1),IF(AND((Data!I$25&gt;750000),(Data!I$25&lt;=1000000)),(37500+(Data!I$25-750000)*0.15),IF(AND((Data!I$25&gt;1000000),(Data!I$25&lt;=1250000)),(75000+(Data!I$25-1000000)*0.2),IF(AND((Data!I$25&gt;1250000),(Data!I$25&lt;=1500000)),(125000+(Data!I$25-1250000)*0.25), (187500+(Data!I$25-1500000)*0.3))))))))),0)</f>
        <v>0</v>
      </c>
      <c r="AA2" s="284">
        <f>ROUND(((IF((Data!J$25&lt;=250000),0,IF(AND((Data!J$25&gt;250000),(Data!J$25&lt;=500000)),(Data!J$25-250000)*0.05,IF(AND((Data!J$25&gt;500000),(Data!J$25&lt;=750000)),(12500+(Data!J$25-500000)*0.1),IF(AND((Data!J$25&gt;750000),(Data!J$25&lt;=1000000)),(37500+(Data!J$25-750000)*0.15),IF(AND((Data!J$25&gt;1000000),(Data!J$25&lt;=1250000)),(75000+(Data!J$25-1000000)*0.2),IF(AND((Data!J$25&gt;1250000),(Data!J$25&lt;=1500000)),(125000+(Data!J$25-1250000)*0.25), (187500+(Data!J$25-1500000)*0.3))))))))),0)</f>
        <v>0</v>
      </c>
    </row>
    <row r="3" spans="1:27" ht="14.25" customHeight="1" x14ac:dyDescent="0.25">
      <c r="A3" s="162">
        <v>2</v>
      </c>
      <c r="B3" s="162" t="s">
        <v>415</v>
      </c>
      <c r="C3" s="151" t="s">
        <v>416</v>
      </c>
      <c r="E3" s="286" t="s">
        <v>417</v>
      </c>
      <c r="F3" s="287">
        <f>ROUND((IF((Data!$F$25&lt;=250000),0,IF(AND((Data!$F$25&gt;250000),(Data!$F$25&lt;=500000)),(Data!$F$25-250000)*0.05,IF(AND((Data!$F$25&gt;500000),(Data!$F$25&lt;=1000000)),(12500+((Data!$F$25-500000)*0.2)),(112500+(Data!$F$25-1000000)*0.3))))),0)</f>
        <v>0</v>
      </c>
      <c r="G3" s="287">
        <f>ROUND((IF((Data!$G$25&lt;=250000),0,IF(AND((Data!$G$25&gt;250000),(Data!$G$25&lt;=500000)),(Data!$G$25-250000)*0.05,IF(AND((Data!$G$25&gt;500000),(Data!$G$25&lt;=1000000)),(12500+((Data!$G$25-500000)*0.2)),(112500+(Data!$G$25-1000000)*0.3))))),0)</f>
        <v>0</v>
      </c>
      <c r="H3" s="284">
        <f>ROUND((IF((Data!$H$25&lt;=250000),0,IF(AND((Data!$H$25&gt;250000),(Data!$H$25&lt;=500000)),(Data!$H$25-250000)*0.05,IF(AND((Data!$H$25&gt;500000),(Data!$H$25&lt;=1000000)),(12500+((Data!$H$25-500000)*0.2)),(112500+(Data!$H$25-1000000)*0.3))))),0)</f>
        <v>0</v>
      </c>
      <c r="I3" s="284">
        <f>ROUND((IF((Data!$I$25&lt;=250000),0,IF(AND((Data!$I$25&gt;250000),(Data!$I$25&lt;=500000)),(Data!$I$25-250000)*0.05,IF(AND((Data!$I$25&gt;500000),(Data!$I$25&lt;=1000000)),(12500+((Data!$I$25-500000)*0.2)),(112500+(Data!$I$25-1000000)*0.3))))),0)</f>
        <v>0</v>
      </c>
      <c r="J3" s="284">
        <f>ROUND((IF((Data!$J$25&lt;=250000),0,IF(AND((Data!$J$25&gt;250000),(Data!$J$25&lt;=500000)),(Data!$J$25-250000)*0.05,IF(AND((Data!$J$25&gt;500000),(Data!$J$25&lt;=1000000)),(12500+((Data!$J$25-500000)*0.2)),(112500+(Data!$J$25-1000000)*0.3))))),0)</f>
        <v>0</v>
      </c>
      <c r="K3" s="288">
        <f>ROUND((IF((Data!$K$25&lt;=250000),0,IF(AND((Data!$K$25&gt;250000),(Data!$K$25&lt;=500000)),(Data!$K$25-250000)*0.05, IF(AND((Data!$K$25&gt;500000),(Data!$K$25&lt;=1000000)),(12500+(Data!$K$25-500000)*0.2),(112500+(Data!$K$25-1000000)*0.3))))),0)</f>
        <v>0</v>
      </c>
      <c r="L3" s="288">
        <f>ROUND((IF((Data!$L$25&lt;=250000),0,IF(AND((Data!$L$25&gt;250000),(Data!$L$25&lt;=500000)),(Data!$L$25-250000)*0.05, IF(AND((Data!$L$25&gt;500000),(Data!$L$25&lt;=1000000)),(12500+(Data!$L$25-500000)*0.2),(112500+(Data!$L$25-1000000)*0.3))))),0)</f>
        <v>0</v>
      </c>
      <c r="M3" s="288">
        <f>ROUND((IF((Data!$M$25&lt;=250000),0,IF(AND((Data!$M$25&gt;250000),(Data!$M$25&lt;=500000)),(Data!$M$25-250000)*0.05, IF(AND((Data!$M$25&gt;500000),(Data!$M$25&lt;=1000000)),(12500+(Data!$M$25-500000)*0.2),(112500+(Data!$M$25-1000000)*0.3))))),0)</f>
        <v>0</v>
      </c>
      <c r="N3" s="288">
        <f>ROUND((IF((Data!$N$25&lt;=250000),0,IF(AND((Data!$N$25&gt;250000),(Data!$N$25&lt;=500000)),(Data!$N$25-250000)*0.1, IF(AND((Data!$N$25&gt;500000),(Data!$N$25&lt;=1000000)),(25000+(Data!$N$25-500000)*0.2),(125000+(Data!$N$25-1000000)*0.3))))),0)</f>
        <v>0</v>
      </c>
      <c r="O3" s="288">
        <f>ROUND((IF((Data!O$25&lt;=250000),0,IF(AND((Data!O$25&gt;250000),(Data!O$25&lt;=500000)),(Data!O$25-250000)*0.1, IF(AND((Data!O$25&gt;500000),(Data!O$25&lt;=1000000)),(25000+(Data!O$25-500000)*0.2),(125000+(Data!O$25-1000000)*0.3))))),0)</f>
        <v>0</v>
      </c>
      <c r="P3" s="288">
        <f>ROUND((IF((Data!P$25&lt;=250000),0,IF(AND((Data!P$25&gt;250000),(Data!P$25&lt;=500000)),(Data!P$25-250000)*0.1, IF(AND((Data!P$25&gt;500000),(Data!P$25&lt;=1000000)),(25000+(Data!P$25-500000)*0.2),(125000+(Data!P$25-1000000)*0.3))))),0)</f>
        <v>0</v>
      </c>
      <c r="Q3" s="288">
        <f>ROUND((IF((Data!Q$25&lt;=200000),0,IF(AND((Data!Q$25&gt;200000),(Data!Q$25&lt;=500000)),(Data!Q$25-200000)*0.1, IF(AND((Data!Q$25&gt;500000),(Data!Q$25&lt;=1000000)),(30000+(Data!Q$25-500000)*0.2),(130000+(Data!Q$25-1000000)*0.3))))),0)</f>
        <v>0</v>
      </c>
      <c r="R3" s="288">
        <f>ROUND((IF((Data!R$25&lt;=200000),0,IF(AND((Data!R$25&gt;200000),(Data!R$25&lt;=500000)),(Data!R$25-200000)*0.1, IF(AND((Data!R$25&gt;500000),(Data!R$25&lt;=1000000)),(30000+(Data!R$25-500000)*0.2),(130000+(Data!R$25-1000000)*0.3))))),0)</f>
        <v>0</v>
      </c>
      <c r="S3" s="288">
        <f>ROUND((IF((Data!S$25&lt;=190000),0,IF(AND((Data!S$25&gt;190000),(Data!S$25&lt;=500000)),(Data!S$25-190000)*0.1, IF(AND((Data!S$25&gt;500000),(Data!S$25&lt;=800000)),(31000+(Data!S$25-500000)*0.2),(91000+(Data!S$25-800000)*0.3))))),0)</f>
        <v>0</v>
      </c>
      <c r="T3" s="288">
        <f>ROUND((IF((Data!T$25&lt;=190000),0,IF(AND((Data!T$25&gt;190000),(Data!T$25&lt;=500000)),(Data!T$25-190000)*0.1, IF(AND((Data!T$25&gt;500000),(Data!T$25&lt;=800000)),(31000+(Data!T$25-500000)*0.2),(91000+(Data!T$25-800000)*0.3))))),0)</f>
        <v>0</v>
      </c>
      <c r="U3" s="288">
        <f>ROUND((IF((Data!U$25&lt;=190000),0,IF(AND((Data!U$25&gt;190000),(Data!U$25&lt;=300000)),(Data!U$25-190000)*0.1, IF(AND((Data!U$25&gt;300000),(Data!U$25&lt;=500000)),(11000+(Data!U$25-300000)*0.2),(51000+(Data!U$25-500000)*0.3))))),0)</f>
        <v>0</v>
      </c>
      <c r="V3" s="192"/>
      <c r="W3" s="287">
        <f>ROUND(((IF((Data!F$25&lt;=300000),0,IF(AND((Data!F$25&gt;300000),(Data!F$25&lt;=700000)),(Data!F$25-300000)*0.05,IF(AND((Data!F$25&gt;700000),(Data!F$25&lt;=1000000)),(20000+(Data!F$25-700000)*0.1),IF(AND((Data!F$25&gt;1000000),(Data!F$25&lt;=1200000)),(50000+(Data!F$25-1000000)*0.15),IF(AND((Data!F$25&gt;1200000),(Data!F$25&lt;=1500000)),(80000+(Data!F$25-1200000)*0.2),(140000+(Data!F$25-1500000)*0.3)))))))),0)</f>
        <v>0</v>
      </c>
      <c r="X3" s="287">
        <f>ROUND(((IF((Data!G$25&lt;=300000),0,IF(AND((Data!G$25&gt;300000),(Data!G$25&lt;=600000)),(Data!G$25-300000)*0.05,IF(AND((Data!G$25&gt;600000),(Data!G$25&lt;=900000)),(15000+(Data!G$25-600000)*0.1),IF(AND((Data!G$25&gt;900000),(Data!G$25&lt;=1200000)),(45000+(Data!G$25-900000)*0.15),IF(AND((Data!G$25&gt;1200000),(Data!G$25&lt;=1500000)),(90000+(Data!G$25-1200000)*0.2),(150000+(Data!G$25-1500000)*0.3)))))))),0)</f>
        <v>0</v>
      </c>
      <c r="Y3" s="284">
        <f>ROUND(((IF((Data!H$25&lt;=250000),0,IF(AND((Data!H$25&gt;250000),(Data!H$25&lt;=500000)),(Data!H$25-250000)*0.05,IF(AND((Data!H$25&gt;500000),(Data!H$25&lt;=750000)),(12500+(Data!H$25-500000)*0.1),IF(AND((Data!H$25&gt;750000),(Data!H$25&lt;=1000000)),(37500+(Data!H$25-750000)*0.15),IF(AND((Data!H$25&gt;1000000),(Data!H$25&lt;=1250000)),(75000+(Data!H$25-1000000)*0.2),IF(AND((Data!H$25&gt;1250000),(Data!H$25&lt;=1500000)),(125000+(Data!H$25-1250000)*0.25), (187500+(Data!H$25-1500000)*0.3))))))))),0)</f>
        <v>0</v>
      </c>
      <c r="Z3" s="284">
        <f>ROUND(((IF((Data!I$25&lt;=250000),0,IF(AND((Data!I$25&gt;250000),(Data!I$25&lt;=500000)),(Data!I$25-250000)*0.05,IF(AND((Data!I$25&gt;500000),(Data!I$25&lt;=750000)),(12500+(Data!I$25-500000)*0.1),IF(AND((Data!I$25&gt;750000),(Data!I$25&lt;=1000000)),(37500+(Data!I$25-750000)*0.15),IF(AND((Data!I$25&gt;1000000),(Data!I$25&lt;=1250000)),(75000+(Data!I$25-1000000)*0.2),IF(AND((Data!I$25&gt;1250000),(Data!I$25&lt;=1500000)),(125000+(Data!I$25-1250000)*0.25), (187500+(Data!I$25-1500000)*0.3))))))))),0)</f>
        <v>0</v>
      </c>
      <c r="AA3" s="284">
        <f>ROUND(((IF((Data!J$25&lt;=250000),0,IF(AND((Data!J$25&gt;250000),(Data!J$25&lt;=500000)),(Data!J$25-250000)*0.05,IF(AND((Data!J$25&gt;500000),(Data!J$25&lt;=750000)),(12500+(Data!J$25-500000)*0.1),IF(AND((Data!J$25&gt;750000),(Data!J$25&lt;=1000000)),(37500+(Data!J$25-750000)*0.15),IF(AND((Data!J$25&gt;1000000),(Data!J$25&lt;=1250000)),(75000+(Data!J$25-1000000)*0.2),IF(AND((Data!J$25&gt;1250000),(Data!J$25&lt;=1500000)),(125000+(Data!J$25-1250000)*0.25), (187500+(Data!J$25-1500000)*0.3))))))))),0)</f>
        <v>0</v>
      </c>
    </row>
    <row r="4" spans="1:27" ht="14.25" customHeight="1" x14ac:dyDescent="0.25">
      <c r="A4" s="162">
        <v>3</v>
      </c>
      <c r="B4" s="162" t="s">
        <v>418</v>
      </c>
      <c r="C4" s="151" t="s">
        <v>335</v>
      </c>
      <c r="E4" s="286" t="s">
        <v>7</v>
      </c>
      <c r="F4" s="287">
        <f>ROUND((IF((Data!$F$25&lt;=300000),0,IF(AND((Data!$F$25&gt;300000),(Data!$F$25&lt;=500000)),(Data!$F$25-300000)*0.05,IF(AND((Data!$F$25&gt;500000),(Data!$F$25&lt;=1000000)),(10000+(Data!$F$25-500000)*0.2),(110000+(Data!$F$25-1000000)*0.3))))),0)</f>
        <v>0</v>
      </c>
      <c r="G4" s="287">
        <f>ROUND((IF((Data!$G$25&lt;=300000),0,IF(AND((Data!$G$25&gt;300000),(Data!$G$25&lt;=500000)),(Data!$G$25-300000)*0.05,IF(AND((Data!$G$25&gt;500000),(Data!$G$25&lt;=1000000)),(10000+(Data!$G$25-500000)*0.2),(110000+(Data!$G$25-1000000)*0.3))))),0)</f>
        <v>0</v>
      </c>
      <c r="H4" s="284">
        <f>ROUND((IF((Data!$H$25&lt;=300000),0,IF(AND((Data!$H$25&gt;300000),(Data!$H$25&lt;=500000)),(Data!$H$25-300000)*0.05,IF(AND((Data!$H$25&gt;500000),(Data!$H$25&lt;=1000000)),(10000+(Data!$H$25-500000)*0.2),(110000+(Data!$H$25-1000000)*0.3))))),0)</f>
        <v>0</v>
      </c>
      <c r="I4" s="284">
        <f>ROUND((IF((Data!$I$25&lt;=300000),0,IF(AND((Data!$I$25&gt;300000),(Data!$I$25&lt;=500000)),(Data!$I$25-300000)*0.05,IF(AND((Data!$I$25&gt;500000),(Data!$I$25&lt;=1000000)),(10000+(Data!$I$25-500000)*0.2),(110000+(Data!$I$25-1000000)*0.3))))),0)</f>
        <v>0</v>
      </c>
      <c r="J4" s="284">
        <f>ROUND((IF((Data!$J$25&lt;=300000),0,IF(AND((Data!$J$25&gt;300000),(Data!$J$25&lt;=500000)),(Data!$J$25-300000)*0.05,IF(AND((Data!$J$25&gt;500000),(Data!$J$25&lt;=1000000)),(10000+(Data!$J$25-500000)*0.2),(110000+(Data!$J$25-1000000)*0.3))))),0)</f>
        <v>0</v>
      </c>
      <c r="K4" s="288">
        <f>ROUND((IF((Data!$K$25&lt;=300000),0,IF(AND((Data!$K$25&gt;300000),(Data!$K$25&lt;=500000)),(Data!$K$25-300000)*0.05, IF(AND((Data!$K$25&gt;500000),(Data!$K$25&lt;=1000000)),(10000+(Data!$K$25-500000)*0.2),(110000+(Data!$K$25-1000000)*0.3))))),0)</f>
        <v>0</v>
      </c>
      <c r="L4" s="288">
        <f>ROUND((IF((Data!$L$25&lt;=300000),0,IF(AND((Data!$L$25&gt;300000),(Data!$L$25&lt;=500000)),(Data!$L$25-300000)*0.05, IF(AND((Data!$L$25&gt;500000),(Data!$L$25&lt;=1000000)),(10000+(Data!$L$25-500000)*0.2),(110000+(Data!$L$25-1000000)*0.3))))),0)</f>
        <v>0</v>
      </c>
      <c r="M4" s="288">
        <f>ROUND((IF((Data!$M$25&lt;=300000),0,IF(AND((Data!$M$25&gt;300000),(Data!$M$25&lt;=500000)),(Data!$M$25-300000)*0.05, IF(AND((Data!$M$25&gt;500000),(Data!$M$25&lt;=1000000)),(10000+(Data!$M$25-500000)*0.2),(110000+(Data!$M$25-1000000)*0.3))))),0)</f>
        <v>0</v>
      </c>
      <c r="N4" s="288">
        <f>ROUND((IF((Data!N$25&lt;=300000),0,IF(AND((Data!N$25&gt;300000),(Data!N$25&lt;=500000)),(Data!N$25-300000)*0.1, IF(AND((Data!N$25&gt;500000),(Data!N$25&lt;=1000000)),(20000+(Data!N$25-500000)*0.2),(120000+(Data!N$25-1000000)*0.3))))),0)</f>
        <v>0</v>
      </c>
      <c r="O4" s="288">
        <f>ROUND((IF((Data!O$25&lt;=300000),0,IF(AND((Data!O$25&gt;300000),(Data!O$25&lt;=500000)),(Data!O$25-300000)*0.1, IF(AND((Data!O$25&gt;500000),(Data!O$25&lt;=1000000)),(20000+(Data!O$25-500000)*0.2),(120000+(Data!O$25-1000000)*0.3))))),0)</f>
        <v>0</v>
      </c>
      <c r="P4" s="288">
        <f>ROUND((IF((Data!P$25&lt;=300000),0,IF(AND((Data!P$25&gt;300000),(Data!P$25&lt;=500000)),(Data!P$25-300000)*0.1, IF(AND((Data!P$25&gt;500000),(Data!P$25&lt;=1000000)),(20000+(Data!P$25-500000)*0.2),(120000+(Data!P$25-1000000)*0.3))))),0)</f>
        <v>0</v>
      </c>
      <c r="Q4" s="288">
        <f>ROUND((IF((Data!Q$25&lt;=250000),0,IF(AND((Data!Q$25&gt;250000),(Data!Q$25&lt;=500000)),(Data!Q$25-250000)*0.1, IF(AND((Data!Q$25&gt;500000),(Data!Q$25&lt;=1000000)),(25000+(Data!Q$25-500000)*0.2),(125000+(Data!Q$25-1000000)*0.3))))),0)</f>
        <v>0</v>
      </c>
      <c r="R4" s="288">
        <f>ROUND((IF((Data!R$25&lt;=250000),0,IF(AND((Data!R$25&gt;250000),(Data!R$25&lt;=500000)),(Data!R$25-250000)*0.1, IF(AND((Data!R$25&gt;500000),(Data!R$25&lt;=1000000)),(25000+(Data!R$25-500000)*0.2),(125000+(Data!R$25-1000000)*0.3))))),0)</f>
        <v>0</v>
      </c>
      <c r="S4" s="288">
        <f>ROUND((IF((Data!S$25&lt;=250000),0,IF(AND((Data!S$25&gt;250000),(Data!S$25&lt;=500000)),(Data!S$25-250000)*0.1, IF(AND((Data!S$25&gt;500000),(Data!S$25&lt;=800000)),(25000+(Data!S$25-500000)*0.2),(85000+(Data!S$25-800000)*0.3))))),0)</f>
        <v>0</v>
      </c>
      <c r="T4" s="288">
        <f>ROUND((IF((Data!T$25&lt;=240000),0,IF(AND((Data!T$25&gt;240000),(Data!T$25&lt;=500000)),(Data!T$25-240000)*0.1, IF(AND((Data!T$25&gt;500000),(Data!T$25&lt;=800000)),(26000+(Data!T$25-500000)*0.2),(86000+(Data!T$25-800000)*0.3))))),0)</f>
        <v>0</v>
      </c>
      <c r="U4" s="288">
        <f>ROUND((IF((Data!U$25&lt;=240000),0,IF(AND((Data!U$25&gt;240000),(Data!U$25&lt;=300000)),(Data!U$25-240000)*0.1, IF(AND((Data!U$25&gt;300000),(Data!U$25&lt;=500000)),(6000+(Data!U$25-300000)*0.2),(46000+(Data!U$25-500000)*0.3))))),0)</f>
        <v>0</v>
      </c>
      <c r="V4" s="192"/>
      <c r="W4" s="287">
        <f>ROUND(((IF((Data!F$25&lt;=300000),0,IF(AND((Data!F$25&gt;300000),(Data!F$25&lt;=700000)),(Data!F$25-300000)*0.05,IF(AND((Data!F$25&gt;700000),(Data!F$25&lt;=1000000)),(20000+(Data!F$25-700000)*0.1),IF(AND((Data!F$25&gt;1000000),(Data!F$25&lt;=1200000)),(50000+(Data!F$25-1000000)*0.15),IF(AND((Data!F$25&gt;1200000),(Data!F$25&lt;=1500000)),(80000+(Data!F$25-1200000)*0.2),(140000+(Data!F$25-1500000)*0.3)))))))),0)</f>
        <v>0</v>
      </c>
      <c r="X4" s="287">
        <f>ROUND(((IF((Data!G$25&lt;=300000),0,IF(AND((Data!G$25&gt;300000),(Data!G$25&lt;=600000)),(Data!G$25-300000)*0.05,IF(AND((Data!G$25&gt;600000),(Data!G$25&lt;=900000)),(15000+(Data!G$25-600000)*0.1),IF(AND((Data!G$25&gt;900000),(Data!G$25&lt;=1200000)),(45000+(Data!G$25-900000)*0.15),IF(AND((Data!G$25&gt;1200000),(Data!G$25&lt;=1500000)),(90000+(Data!G$25-1200000)*0.2),(150000+(Data!G$25-1500000)*0.3)))))))),0)</f>
        <v>0</v>
      </c>
      <c r="Y4" s="284">
        <f>ROUND((IF((Data!H$25&lt;=250000),0,IF(AND((Data!H$25&gt;250000),(Data!H$25&lt;=500000)),(Data!H$25-250000)*0.05,IF(AND((Data!H$25&gt;500000),(Data!H$25&lt;=750000)),(12500+(Data!H$25-500000)*0.1),IF(AND((Data!H$25&gt;750000),(Data!H$25&lt;=1000000)),(37500+(Data!H$25-750000)*0.15),IF(AND((Data!H$25&gt;1000000),(Data!H$25&lt;=1250000)),(75000+(Data!H$25-1000000)*0.2),IF(AND((Data!H$25&gt;1250000),(Data!H$25&lt;=1500000)),(125000+(Data!H$25-1250000)*0.25), (187500+(Data!H$25-1500000)*0.3)))))))),0)</f>
        <v>0</v>
      </c>
      <c r="Z4" s="284">
        <f>ROUND((IF((Data!I$25&lt;=250000),0,IF(AND((Data!I$25&gt;250000),(Data!I$25&lt;=500000)),(Data!I$25-250000)*0.05,IF(AND((Data!I$25&gt;500000),(Data!I$25&lt;=750000)),(12500+(Data!I$25-500000)*0.1),IF(AND((Data!I$25&gt;750000),(Data!I$25&lt;=1000000)),(37500+(Data!I$25-750000)*0.15),IF(AND((Data!I$25&gt;1000000),(Data!I$25&lt;=1250000)),(75000+(Data!I$25-1000000)*0.2),IF(AND((Data!I$25&gt;1250000),(Data!I$25&lt;=1500000)),(125000+(Data!I$25-1250000)*0.25), (187500+(Data!I$25-1500000)*0.3)))))))),0)</f>
        <v>0</v>
      </c>
      <c r="AA4" s="284">
        <f>ROUND((IF((Data!J$25&lt;=250000),0,IF(AND((Data!J$25&gt;250000),(Data!J$25&lt;=500000)),(Data!J$25-250000)*0.05,IF(AND((Data!J$25&gt;500000),(Data!J$25&lt;=750000)),(12500+(Data!J$25-500000)*0.1),IF(AND((Data!J$25&gt;750000),(Data!J$25&lt;=1000000)),(37500+(Data!J$25-750000)*0.15),IF(AND((Data!J$25&gt;1000000),(Data!J$25&lt;=1250000)),(75000+(Data!J$25-1000000)*0.2),IF(AND((Data!J$25&gt;1250000),(Data!J$25&lt;=1500000)),(125000+(Data!J$25-1250000)*0.25), (187500+(Data!J$25-1500000)*0.3)))))))),0)</f>
        <v>0</v>
      </c>
    </row>
    <row r="5" spans="1:27" ht="14.25" customHeight="1" x14ac:dyDescent="0.25">
      <c r="A5" s="162">
        <v>4</v>
      </c>
      <c r="B5" s="162" t="s">
        <v>419</v>
      </c>
      <c r="C5" s="151" t="s">
        <v>339</v>
      </c>
      <c r="E5" s="286"/>
      <c r="F5" s="289"/>
      <c r="G5" s="289"/>
      <c r="H5" s="284"/>
      <c r="I5" s="286"/>
      <c r="J5" s="286"/>
      <c r="K5" s="288"/>
      <c r="L5" s="288"/>
      <c r="M5" s="288"/>
      <c r="N5" s="288"/>
      <c r="O5" s="288"/>
      <c r="P5" s="290"/>
      <c r="Q5" s="290"/>
      <c r="R5" s="290"/>
      <c r="S5" s="290"/>
      <c r="T5" s="288"/>
      <c r="U5" s="288"/>
      <c r="V5" s="192"/>
      <c r="W5" s="287"/>
      <c r="X5" s="287"/>
      <c r="Y5" s="284"/>
      <c r="Z5" s="284"/>
      <c r="AA5" s="284"/>
    </row>
    <row r="6" spans="1:27" ht="14.25" customHeight="1" x14ac:dyDescent="0.25">
      <c r="A6" s="162">
        <v>5</v>
      </c>
      <c r="B6" s="162" t="s">
        <v>419</v>
      </c>
      <c r="C6" s="151" t="s">
        <v>342</v>
      </c>
      <c r="E6" s="286"/>
      <c r="F6" s="289"/>
      <c r="G6" s="289"/>
      <c r="H6" s="284"/>
      <c r="I6" s="286"/>
      <c r="J6" s="286"/>
      <c r="K6" s="288"/>
      <c r="L6" s="288"/>
      <c r="M6" s="288"/>
      <c r="N6" s="288"/>
      <c r="O6" s="288"/>
      <c r="P6" s="290"/>
      <c r="Q6" s="290"/>
      <c r="R6" s="290"/>
      <c r="S6" s="290"/>
      <c r="T6" s="288"/>
      <c r="U6" s="288"/>
      <c r="V6" s="192"/>
      <c r="W6" s="287"/>
      <c r="X6" s="287"/>
      <c r="Y6" s="284"/>
      <c r="Z6" s="284"/>
      <c r="AA6" s="284"/>
    </row>
    <row r="7" spans="1:27" ht="14.25" customHeight="1" x14ac:dyDescent="0.25">
      <c r="A7" s="162">
        <v>6</v>
      </c>
      <c r="B7" s="162" t="s">
        <v>419</v>
      </c>
      <c r="C7" s="151" t="s">
        <v>346</v>
      </c>
      <c r="E7" s="286"/>
      <c r="F7" s="289"/>
      <c r="G7" s="289"/>
      <c r="H7" s="284"/>
      <c r="I7" s="286"/>
      <c r="J7" s="286"/>
      <c r="K7" s="288"/>
      <c r="L7" s="288"/>
      <c r="M7" s="288"/>
      <c r="N7" s="288"/>
      <c r="O7" s="288"/>
      <c r="P7" s="290"/>
      <c r="Q7" s="290"/>
      <c r="R7" s="290"/>
      <c r="S7" s="290"/>
      <c r="T7" s="288"/>
      <c r="U7" s="288"/>
      <c r="V7" s="192"/>
      <c r="W7" s="287"/>
      <c r="X7" s="287"/>
      <c r="Y7" s="284"/>
      <c r="Z7" s="284"/>
      <c r="AA7" s="284"/>
    </row>
    <row r="8" spans="1:27" ht="14.25" customHeight="1" x14ac:dyDescent="0.25">
      <c r="A8" s="162">
        <v>7</v>
      </c>
      <c r="B8" s="162" t="s">
        <v>419</v>
      </c>
      <c r="C8" s="151" t="s">
        <v>350</v>
      </c>
      <c r="E8" s="286" t="s">
        <v>285</v>
      </c>
      <c r="F8" s="287">
        <f>ROUND((IF((Data!$F$39&lt;=250000),0,IF(AND((Data!$F$39&gt;250000),(Data!$F$39&lt;=500000)),(Data!$F$39-250000)*0.05,IF(AND((Data!$F$39&gt;500000),(Data!$F$39&lt;=1000000)),(12500+((Data!$F$39-500000)*0.2)),(112500+(Data!$F$39-1000000)*0.3))))),0)</f>
        <v>0</v>
      </c>
      <c r="G8" s="287">
        <f>ROUND((IF((Data!$G$39&lt;=250000),0,IF(AND((Data!$G$39&gt;250000),(Data!$G$39&lt;=500000)),(Data!$G$39-250000)*0.05,IF(AND((Data!$G$39&gt;500000),(Data!$G$39&lt;=1000000)),(12500+((Data!$G$39-500000)*0.2)),(112500+(Data!$G$39-1000000)*0.3))))),0)</f>
        <v>0</v>
      </c>
      <c r="H8" s="284">
        <f>ROUND((IF((Data!$H$39&lt;=250000),0,IF(AND((Data!$H$39&gt;250000),(Data!$H$39&lt;=500000)),(Data!$H$39-250000)*0.05,IF(AND((Data!$H$39&gt;500000),(Data!$H$39&lt;=1000000)),(12500+((Data!$H$39-500000)*0.2)),(112500+(Data!$H$39-1000000)*0.3))))),0)</f>
        <v>0</v>
      </c>
      <c r="I8" s="284">
        <f>ROUND((IF((Data!$I$39&lt;=250000),0,IF(AND((Data!$I$39&gt;250000),(Data!$I$39&lt;=500000)),(Data!$I$39-250000)*0.05,IF(AND((Data!$I$39&gt;500000),(Data!$I$39&lt;=1000000)),(12500+((Data!$I$39-500000)*0.2)),(112500+(Data!$I$39-1000000)*0.3))))),0)</f>
        <v>0</v>
      </c>
      <c r="J8" s="284">
        <f>ROUND((IF((Data!$J$39&lt;=250000),0,IF(AND((Data!$J$39&gt;250000),(Data!$J$39&lt;=500000)),(Data!$J$39-250000)*0.05,IF(AND((Data!$J$39&gt;500000),(Data!$J$39&lt;=1000000)),(12500+((Data!$J$39-500000)*0.2)),(112500+(Data!$J$39-1000000)*0.3))))),0)</f>
        <v>0</v>
      </c>
      <c r="K8" s="288">
        <f>ROUND((IF((Data!$K$39&lt;=250000),0,IF(AND((Data!$K$39&gt;250000),(Data!$K$39&lt;=500000)),(Data!$K$39-250000)*0.05, IF(AND((Data!$K$39&gt;500000),(Data!$K$39&lt;=1000000)),(12500+(Data!$K$39-500000)*0.2),(112500+(Data!$K$39-1000000)*0.3))))),0)</f>
        <v>0</v>
      </c>
      <c r="L8" s="288">
        <f>ROUND((IF((Data!$L$39&lt;=250000),0,IF(AND((Data!$L$39&gt;250000),(Data!$L$39&lt;=500000)),(Data!$L$39-250000)*0.05, IF(AND((Data!$L$39&gt;500000),(Data!$L$39&lt;=1000000)),(12500+(Data!$L$39-500000)*0.2),(112500+(Data!$L$39-1000000)*0.3))))),0)</f>
        <v>0</v>
      </c>
      <c r="M8" s="288">
        <f>ROUND((IF((Data!$M$39&lt;=250000),0,IF(AND((Data!$M$39&gt;250000),(Data!$M$39&lt;=500000)),(Data!$M$39-250000)*0.05, IF(AND((Data!$M$39&gt;500000),(Data!$M$39&lt;=1000000)),(12500+(Data!$M$39-500000)*0.2),(112500+(Data!$M$39-1000000)*0.3))))),0)</f>
        <v>0</v>
      </c>
      <c r="N8" s="288">
        <f>ROUND((IF((Data!$N$39&lt;=250000),0,IF(AND((Data!$N$39&gt;250000),(Data!$N$39&lt;=500000)),(Data!$N$39-250000)*0.1, IF(AND((Data!$N$39&gt;500000),(Data!$N$39&lt;=1000000)),(25000+(Data!$N$39-500000)*0.2),(125000+(Data!$N$39-1000000)*0.3))))),0)</f>
        <v>0</v>
      </c>
      <c r="O8" s="288">
        <f>ROUND((IF((Data!O$39&lt;=250000),0,IF(AND((Data!O$39&gt;250000),(Data!O$39&lt;=500000)),(Data!O$39-250000)*0.1, IF(AND((Data!O$39&gt;500000),(Data!O$39&lt;=1000000)),(25000+(Data!O$39-500000)*0.2),(125000+(Data!O$39-1000000)*0.3))))),0)</f>
        <v>0</v>
      </c>
      <c r="P8" s="288">
        <f>ROUND((IF((Data!P$39&lt;=250000),0,IF(AND((Data!P$39&gt;250000),(Data!P$39&lt;=500000)),(Data!P$39-250000)*0.1, IF(AND((Data!P$39&gt;500000),(Data!P$39&lt;=1000000)),(25000+(Data!P$39-500000)*0.2),(125000+(Data!P$39-1000000)*0.3))))),0)</f>
        <v>0</v>
      </c>
      <c r="Q8" s="288">
        <f>ROUND((IF((Data!Q$39&lt;=200000),0,IF(AND((Data!Q$39&gt;200000),(Data!Q$39&lt;=500000)),(Data!Q$39-200000)*0.1, IF(AND((Data!Q$39&gt;500000),(Data!Q$39&lt;=1000000)),(30000+(Data!Q$39-500000)*0.2),(130000+(Data!Q$39-1000000)*0.3))))),0)</f>
        <v>0</v>
      </c>
      <c r="R8" s="288">
        <f>ROUND((IF((Data!R$39&lt;=200000),0,IF(AND((Data!R$39&gt;200000),(Data!R$39&lt;=500000)),(Data!R$39-200000)*0.1, IF(AND((Data!R$39&gt;500000),(Data!R$39&lt;=1000000)),(30000+(Data!R$39-500000)*0.2),(130000+(Data!R$39-1000000)*0.3))))),0)</f>
        <v>0</v>
      </c>
      <c r="S8" s="288">
        <f>ROUND((IF((Data!S$39&lt;=180000),0,IF(AND((Data!S$39&gt;180000),(Data!S$39&lt;=500000)),(Data!S$39-180000)*0.1, IF(AND((Data!S$39&gt;500000),(Data!S$39&lt;=800000)),(32000+(Data!S$39-500000)*0.2),(92000+(Data!S$39-800000)*0.3))))),0)</f>
        <v>0</v>
      </c>
      <c r="T8" s="288">
        <f>ROUND((IF((Data!T$39&lt;=160000),0,IF(AND((Data!T$39&gt;160000),(Data!T$39&lt;=500000)),(Data!T$39-160000)*0.1, IF(AND((Data!T$39&gt;500000),(Data!T$39&lt;=800000)),(34000+(Data!T$39-500000)*0.2),(94000+(Data!T$39-800000)*0.3))))),0)</f>
        <v>0</v>
      </c>
      <c r="U8" s="288">
        <f>ROUND((IF((Data!U$39&lt;=160000),0,IF(AND((Data!U$39&gt;160000),(Data!U$39&lt;=300000)),(Data!U$39-160000)*0.1, IF(AND((Data!U$39&gt;300000),(Data!U$39&lt;=500000)),(14000+(Data!U$39-300000)*0.2),(54000+(Data!U$39-500000)*0.3))))),0)</f>
        <v>0</v>
      </c>
      <c r="V8" s="192"/>
      <c r="W8" s="287">
        <f>ROUND(((IF((Data!F$39&lt;=300000),0,IF(AND((Data!F$39&gt;300000),(Data!F$39&lt;=700000)),(Data!F$39-300000)*0.05,IF(AND((Data!F$39&gt;700000),(Data!F$39&lt;=1000000)),(20000+(Data!F$39-700000)*0.1),IF(AND((Data!F$39&gt;1000000),(Data!F$39&lt;=1200000)),(50000+(Data!F$39-1000000)*0.15),IF(AND((Data!F$39&gt;1200000),(Data!F$39&lt;=1500000)),(80000+(Data!F$39-1200000)*0.2),(140000+(Data!F$39-1500000)*0.3)))))))),0)</f>
        <v>0</v>
      </c>
      <c r="X8" s="287">
        <f>ROUND(((IF((Data!G$39&lt;=300000),0,IF(AND((Data!G$39&gt;300000),(Data!G$39&lt;=600000)),(Data!G$39-300000)*0.05,IF(AND((Data!G$39&gt;600000),(Data!G$39&lt;=900000)),(15000+(Data!G$39-600000)*0.1),IF(AND((Data!G$39&gt;900000),(Data!G$39&lt;=1200000)),(45000+(Data!G$39-900000)*0.15),IF(AND((Data!G$39&gt;1200000),(Data!G$39&lt;=1500000)),(90000+(Data!G$39-1200000)*0.2),(150000+(Data!G$39-1500000)*0.3)))))))),0)</f>
        <v>0</v>
      </c>
      <c r="Y8" s="284">
        <f>ROUND(((IF((Data!H$39&lt;=250000),0,IF(AND((Data!H$39&gt;250000),(Data!H$39&lt;=500000)),(Data!H$39-250000)*0.05,IF(AND((Data!H$39&gt;500000),(Data!H$39&lt;=750000)),(12500+(Data!H$39-500000)*0.1),IF(AND((Data!H$39&gt;750000),(Data!H$39&lt;=1000000)),(37500+(Data!H$39-750000)*0.15),IF(AND((Data!H$39&gt;1000000),(Data!H$39&lt;=1250000)),(75000+(Data!H$39-1000000)*0.2),IF(AND((Data!H$39&gt;1250000),(Data!H$39&lt;=1500000)),(125000+(Data!H$39-1250000)*0.25), (187500+(Data!H$39-1500000)*0.3))))))))),0)</f>
        <v>0</v>
      </c>
      <c r="Z8" s="284">
        <f>ROUND(((IF((Data!I$39&lt;=250000),0,IF(AND((Data!I$39&gt;250000),(Data!I$39&lt;=500000)),(Data!I$39-250000)*0.05,IF(AND((Data!I$39&gt;500000),(Data!I$39&lt;=750000)),(12500+(Data!I$39-500000)*0.1),IF(AND((Data!I$39&gt;750000),(Data!I$39&lt;=1000000)),(37500+(Data!I$39-750000)*0.15),IF(AND((Data!I$39&gt;1000000),(Data!I$39&lt;=1250000)),(75000+(Data!I$39-1000000)*0.2),IF(AND((Data!I$39&gt;1250000),(Data!I$39&lt;=1500000)),(125000+(Data!I$39-1250000)*0.25), (187500+(Data!I$39-1500000)*0.3))))))))),0)</f>
        <v>0</v>
      </c>
      <c r="AA8" s="284">
        <f>ROUND(((IF((Data!J$39&lt;=250000),0,IF(AND((Data!J$39&gt;250000),(Data!J$39&lt;=500000)),(Data!J$39-250000)*0.05,IF(AND((Data!J$39&gt;500000),(Data!J$39&lt;=750000)),(12500+(Data!J$39-500000)*0.1),IF(AND((Data!J$39&gt;750000),(Data!J$39&lt;=1000000)),(37500+(Data!J$39-750000)*0.15),IF(AND((Data!J$39&gt;1000000),(Data!J$39&lt;=1250000)),(75000+(Data!J$39-1000000)*0.2),IF(AND((Data!J$39&gt;1250000),(Data!J$39&lt;=1500000)),(125000+(Data!J$39-1250000)*0.25), (187500+(Data!J$39-1500000)*0.3))))))))),0)</f>
        <v>0</v>
      </c>
    </row>
    <row r="9" spans="1:27" ht="14.25" customHeight="1" x14ac:dyDescent="0.25">
      <c r="A9" s="162">
        <v>8</v>
      </c>
      <c r="B9" s="162" t="s">
        <v>419</v>
      </c>
      <c r="C9" s="151" t="s">
        <v>353</v>
      </c>
      <c r="E9" s="286" t="s">
        <v>417</v>
      </c>
      <c r="F9" s="287">
        <f>ROUND((IF((Data!$F$39&lt;=250000),0,IF(AND((Data!$F$39&gt;250000),(Data!$F$39&lt;=500000)),(Data!$F$39-250000)*0.05,IF(AND((Data!$F$39&gt;500000),(Data!$F$39&lt;=1000000)),(12500+((Data!$F$39-500000)*0.2)),(112500+(Data!$F$39-1000000)*0.3))))),0)</f>
        <v>0</v>
      </c>
      <c r="G9" s="287">
        <f>ROUND((IF((Data!$G$39&lt;=250000),0,IF(AND((Data!$G$39&gt;250000),(Data!$G$39&lt;=500000)),(Data!$G$39-250000)*0.05,IF(AND((Data!$G$39&gt;500000),(Data!$G$39&lt;=1000000)),(12500+((Data!$G$39-500000)*0.2)),(112500+(Data!$G$39-1000000)*0.3))))),0)</f>
        <v>0</v>
      </c>
      <c r="H9" s="284">
        <f>ROUND((IF((Data!$H$39&lt;=250000),0,IF(AND((Data!$H$39&gt;250000),(Data!$H$39&lt;=500000)),(Data!$H$39-250000)*0.05,IF(AND((Data!$H$39&gt;500000),(Data!$H$39&lt;=1000000)),(12500+((Data!$H$39-500000)*0.2)),(112500+(Data!$H$39-1000000)*0.3))))),0)</f>
        <v>0</v>
      </c>
      <c r="I9" s="284">
        <f>ROUND((IF((Data!$I$39&lt;=250000),0,IF(AND((Data!$I$39&gt;250000),(Data!$I$39&lt;=500000)),(Data!$I$39-250000)*0.05,IF(AND((Data!$I$39&gt;500000),(Data!$I$39&lt;=1000000)),(12500+((Data!$I$39-500000)*0.2)),(112500+(Data!$I$39-1000000)*0.3))))),0)</f>
        <v>0</v>
      </c>
      <c r="J9" s="284">
        <f>ROUND((IF((Data!$J$39&lt;=250000),0,IF(AND((Data!$J$39&gt;250000),(Data!$J$39&lt;=500000)),(Data!$J$39-250000)*0.05,IF(AND((Data!$J$39&gt;500000),(Data!$J$39&lt;=1000000)),(12500+((Data!$J$39-500000)*0.2)),(112500+(Data!$J$39-1000000)*0.3))))),0)</f>
        <v>0</v>
      </c>
      <c r="K9" s="288">
        <f>ROUND((IF((Data!$K$39&lt;=250000),0,IF(AND((Data!$K$39&gt;250000),(Data!$K$39&lt;=500000)),(Data!$K$39-250000)*0.05, IF(AND((Data!$K$39&gt;500000),(Data!$K$39&lt;=1000000)),(12500+(Data!$K$39-500000)*0.2),(112500+(Data!$K$39-1000000)*0.3))))),0)</f>
        <v>0</v>
      </c>
      <c r="L9" s="288">
        <f>ROUND((IF((Data!$L$39&lt;=250000),0,IF(AND((Data!$L$39&gt;250000),(Data!$L$39&lt;=500000)),(Data!$L$39-250000)*0.05, IF(AND((Data!$L$39&gt;500000),(Data!$L$39&lt;=1000000)),(12500+(Data!$L$39-500000)*0.2),(112500+(Data!$L$39-1000000)*0.3))))),0)</f>
        <v>0</v>
      </c>
      <c r="M9" s="288">
        <f>ROUND((IF((Data!$M$39&lt;=250000),0,IF(AND((Data!$M$39&gt;250000),(Data!$M$39&lt;=500000)),(Data!$M$39-250000)*0.05, IF(AND((Data!$M$39&gt;500000),(Data!$M$39&lt;=1000000)),(12500+(Data!$M$39-500000)*0.2),(112500+(Data!$M$39-1000000)*0.3))))),0)</f>
        <v>0</v>
      </c>
      <c r="N9" s="288">
        <f>ROUND((IF((Data!$N$39&lt;=250000),0,IF(AND((Data!$N$39&gt;250000),(Data!$N$39&lt;=500000)),(Data!$N$39-250000)*0.1, IF(AND((Data!$N$39&gt;500000),(Data!$N$39&lt;=1000000)),(25000+(Data!$N$39-500000)*0.2),(125000+(Data!$N$39-1000000)*0.3))))),0)</f>
        <v>0</v>
      </c>
      <c r="O9" s="288">
        <f>ROUND((IF((Data!O$39&lt;=250000),0,IF(AND((Data!O$39&gt;250000),(Data!O$39&lt;=500000)),(Data!O$39-250000)*0.1, IF(AND((Data!O$39&gt;500000),(Data!O$39&lt;=1000000)),(25000+(Data!O$39-500000)*0.2),(125000+(Data!O$39-1000000)*0.3))))),0)</f>
        <v>0</v>
      </c>
      <c r="P9" s="288">
        <f>ROUND((IF((Data!P$39&lt;=250000),0,IF(AND((Data!P$39&gt;250000),(Data!P$39&lt;=500000)),(Data!P$39-250000)*0.1, IF(AND((Data!P$39&gt;500000),(Data!P$39&lt;=1000000)),(25000+(Data!P$39-500000)*0.2),(125000+(Data!P$39-1000000)*0.3))))),0)</f>
        <v>0</v>
      </c>
      <c r="Q9" s="288">
        <f>ROUND((IF((Data!Q$39&lt;=200000),0,IF(AND((Data!Q$39&gt;200000),(Data!Q$39&lt;=500000)),(Data!Q$39-200000)*0.1, IF(AND((Data!Q$39&gt;500000),(Data!Q$39&lt;=1000000)),(30000+(Data!Q$39-500000)*0.2),(130000+(Data!Q$39-1000000)*0.3))))),0)</f>
        <v>0</v>
      </c>
      <c r="R9" s="288">
        <f>ROUND((IF((Data!R$39&lt;=200000),0,IF(AND((Data!R$39&gt;200000),(Data!R$39&lt;=500000)),(Data!R$39-200000)*0.1, IF(AND((Data!R$39&gt;500000),(Data!R$39&lt;=1000000)),(30000+(Data!R$39-500000)*0.2),(130000+(Data!R$39-1000000)*0.3))))),0)</f>
        <v>0</v>
      </c>
      <c r="S9" s="288">
        <f>ROUND((IF((Data!S$39&lt;=190000),0,IF(AND((Data!S$39&gt;190000),(Data!S$39&lt;=500000)),(Data!S$39-190000)*0.1, IF(AND((Data!S$39&gt;500000),(Data!S$39&lt;=800000)),(31000+(Data!S$39-500000)*0.2),(91000+(Data!S$39-800000)*0.3))))),0)</f>
        <v>0</v>
      </c>
      <c r="T9" s="288">
        <f>ROUND((IF((Data!T$39&lt;=190000),0,IF(AND((Data!T$39&gt;190000),(Data!T$39&lt;=500000)),(Data!T$39-190000)*0.1, IF(AND((Data!T$39&gt;500000),(Data!T$39&lt;=800000)),(31000+(Data!T$39-500000)*0.2),(91000+(Data!T$39-800000)*0.3))))),0)</f>
        <v>0</v>
      </c>
      <c r="U9" s="288">
        <f>ROUND((IF((Data!U$39&lt;=190000),0,IF(AND((Data!U$39&gt;190000),(Data!U$39&lt;=300000)),(Data!U$39-190000)*0.1, IF(AND((Data!U$39&gt;300000),(Data!U$39&lt;=500000)),(11000+(Data!U$39-300000)*0.2),(51000+(Data!U$39-500000)*0.3))))),0)</f>
        <v>0</v>
      </c>
      <c r="V9" s="192"/>
      <c r="W9" s="287">
        <f>ROUND(((IF((Data!F$39&lt;=300000),0,IF(AND((Data!F$39&gt;300000),(Data!F$39&lt;=700000)),(Data!F$39-300000)*0.05,IF(AND((Data!F$39&gt;700000),(Data!F$39&lt;=1000000)),(20000+(Data!F$39-700000)*0.1),IF(AND((Data!F$39&gt;1000000),(Data!F$39&lt;=1200000)),(50000+(Data!F$39-1000000)*0.15),IF(AND((Data!F$39&gt;1200000),(Data!F$39&lt;=1500000)),(80000+(Data!F$39-1200000)*0.2),(140000+(Data!F$39-1500000)*0.3)))))))),0)</f>
        <v>0</v>
      </c>
      <c r="X9" s="287">
        <f>ROUND(((IF((Data!G$39&lt;=300000),0,IF(AND((Data!G$39&gt;300000),(Data!G$39&lt;=600000)),(Data!G$39-300000)*0.05,IF(AND((Data!G$39&gt;600000),(Data!G$39&lt;=900000)),(15000+(Data!G$39-600000)*0.1),IF(AND((Data!G$39&gt;900000),(Data!G$39&lt;=1200000)),(45000+(Data!G$39-900000)*0.15),IF(AND((Data!G$39&gt;1200000),(Data!G$39&lt;=1500000)),(90000+(Data!G$39-1200000)*0.2),(150000+(Data!G$39-1500000)*0.3)))))))),0)</f>
        <v>0</v>
      </c>
      <c r="Y9" s="284">
        <f>ROUND(((IF((Data!H$39&lt;=250000),0,IF(AND((Data!H$39&gt;250000),(Data!H$39&lt;=500000)),(Data!H$39-250000)*0.05,IF(AND((Data!H$39&gt;500000),(Data!H$39&lt;=750000)),(12500+(Data!H$39-500000)*0.1),IF(AND((Data!H$39&gt;750000),(Data!H$39&lt;=1000000)),(37500+(Data!H$39-750000)*0.15),IF(AND((Data!H$39&gt;1000000),(Data!H$39&lt;=1250000)),(75000+(Data!H$39-1000000)*0.2),IF(AND((Data!H$39&gt;1250000),(Data!H$39&lt;=1500000)),(125000+(Data!H$39-1250000)*0.25), (187500+(Data!H$39-1500000)*0.3))))))))),0)</f>
        <v>0</v>
      </c>
      <c r="Z9" s="284">
        <f>ROUND(((IF((Data!I$39&lt;=250000),0,IF(AND((Data!I$39&gt;250000),(Data!I$39&lt;=500000)),(Data!I$39-250000)*0.05,IF(AND((Data!I$39&gt;500000),(Data!I$39&lt;=750000)),(12500+(Data!I$39-500000)*0.1),IF(AND((Data!I$39&gt;750000),(Data!I$39&lt;=1000000)),(37500+(Data!I$39-750000)*0.15),IF(AND((Data!I$39&gt;1000000),(Data!I$39&lt;=1250000)),(75000+(Data!I$39-1000000)*0.2),IF(AND((Data!I$39&gt;1250000),(Data!I$39&lt;=1500000)),(125000+(Data!I$39-1250000)*0.25), (187500+(Data!I$39-1500000)*0.3))))))))),0)</f>
        <v>0</v>
      </c>
      <c r="AA9" s="284">
        <f>ROUND(((IF((Data!J$39&lt;=250000),0,IF(AND((Data!J$39&gt;250000),(Data!J$39&lt;=500000)),(Data!J$39-250000)*0.05,IF(AND((Data!J$39&gt;500000),(Data!J$39&lt;=750000)),(12500+(Data!J$39-500000)*0.1),IF(AND((Data!J$39&gt;750000),(Data!J$39&lt;=1000000)),(37500+(Data!J$39-750000)*0.15),IF(AND((Data!J$39&gt;1000000),(Data!J$39&lt;=1250000)),(75000+(Data!J$39-1000000)*0.2),IF(AND((Data!J$39&gt;1250000),(Data!J$39&lt;=1500000)),(125000+(Data!J$39-1250000)*0.25), (187500+(Data!J$39-1500000)*0.3))))))))),0)</f>
        <v>0</v>
      </c>
    </row>
    <row r="10" spans="1:27" ht="14.25" customHeight="1" x14ac:dyDescent="0.25">
      <c r="A10" s="162">
        <v>9</v>
      </c>
      <c r="B10" s="162" t="s">
        <v>419</v>
      </c>
      <c r="C10" s="151" t="s">
        <v>356</v>
      </c>
      <c r="E10" s="286" t="s">
        <v>7</v>
      </c>
      <c r="F10" s="287">
        <f>ROUND((IF((Data!$F$39&lt;=300000),0,IF(AND((Data!$F$39&gt;300000),(Data!$F$39&lt;=500000)),(Data!$F$39-300000)*0.05,IF(AND((Data!$F$39&gt;500000),(Data!$F$39&lt;=1000000)),(10000+(Data!$F$39-500000)*0.2),(110000+(Data!$F$39-1000000)*0.3))))),0)</f>
        <v>0</v>
      </c>
      <c r="G10" s="287">
        <f>ROUND((IF((Data!$G$39&lt;=300000),0,IF(AND((Data!$G$39&gt;300000),(Data!$G$39&lt;=500000)),(Data!$G$39-300000)*0.05,IF(AND((Data!$G$39&gt;500000),(Data!$G$39&lt;=1000000)),(10000+(Data!$G$39-500000)*0.2),(110000+(Data!$G$39-1000000)*0.3))))),0)</f>
        <v>0</v>
      </c>
      <c r="H10" s="284">
        <f>ROUND((IF((Data!$H$39&lt;=300000),0,IF(AND((Data!$H$39&gt;300000),(Data!$H$39&lt;=500000)),(Data!$H$39-300000)*0.05,IF(AND((Data!$H$39&gt;500000),(Data!$H$39&lt;=1000000)),(10000+(Data!$H$39-500000)*0.2),(110000+(Data!$H$39-1000000)*0.3))))),0)</f>
        <v>0</v>
      </c>
      <c r="I10" s="284">
        <f>ROUND((IF((Data!$I$39&lt;=300000),0,IF(AND((Data!$I$39&gt;300000),(Data!$I$39&lt;=500000)),(Data!$I$39-300000)*0.05,IF(AND((Data!$I$39&gt;500000),(Data!$I$39&lt;=1000000)),(10000+(Data!$I$39-500000)*0.2),(110000+(Data!$I$39-1000000)*0.3))))),0)</f>
        <v>0</v>
      </c>
      <c r="J10" s="284">
        <f>ROUND((IF((Data!$J$39&lt;=300000),0,IF(AND((Data!$J$39&gt;300000),(Data!$J$39&lt;=500000)),(Data!$J$39-300000)*0.05,IF(AND((Data!$J$39&gt;500000),(Data!$J$39&lt;=1000000)),(10000+(Data!$J$39-500000)*0.2),(110000+(Data!$J$39-1000000)*0.3))))),0)</f>
        <v>0</v>
      </c>
      <c r="K10" s="288">
        <f>ROUND((IF((Data!$K$39&lt;=300000),0,IF(AND((Data!$K$39&gt;300000),(Data!$K$39&lt;=500000)),(Data!$K$39-300000)*0.05, IF(AND((Data!$K$39&gt;500000),(Data!$K$39&lt;=1000000)),(10000+(Data!$K$39-500000)*0.2),(110000+(Data!$K$39-1000000)*0.3))))),0)</f>
        <v>0</v>
      </c>
      <c r="L10" s="288">
        <f>ROUND((IF((Data!$L$39&lt;=300000),0,IF(AND((Data!$L$39&gt;300000),(Data!$L$39&lt;=500000)),(Data!$L$39-300000)*0.05, IF(AND((Data!$L$39&gt;500000),(Data!$L$39&lt;=1000000)),(10000+(Data!$L$39-500000)*0.2),(110000+(Data!$L$39-1000000)*0.3))))),0)</f>
        <v>0</v>
      </c>
      <c r="M10" s="288">
        <f>ROUND((IF((Data!$M$39&lt;=300000),0,IF(AND((Data!$M$39&gt;300000),(Data!$M$39&lt;=500000)),(Data!$M$39-300000)*0.05, IF(AND((Data!$M$39&gt;500000),(Data!$M$39&lt;=1000000)),(10000+(Data!$M$39-500000)*0.2),(110000+(Data!$M$39-1000000)*0.3))))),0)</f>
        <v>0</v>
      </c>
      <c r="N10" s="288">
        <f>ROUND((IF((Data!N$39&lt;=300000),0,IF(AND((Data!N$39&gt;300000),(Data!N$39&lt;=500000)),(Data!N$39-300000)*0.1, IF(AND((Data!N$39&gt;500000),(Data!N$39&lt;=1000000)),(20000+(Data!N$39-500000)*0.2),(120000+(Data!N$39-1000000)*0.3))))),0)</f>
        <v>0</v>
      </c>
      <c r="O10" s="288">
        <f>ROUND((IF((Data!O$39&lt;=300000),0,IF(AND((Data!O$39&gt;300000),(Data!O$39&lt;=500000)),(Data!O$39-300000)*0.1, IF(AND((Data!O$39&gt;500000),(Data!O$39&lt;=1000000)),(20000+(Data!O$39-500000)*0.2),(120000+(Data!O$39-1000000)*0.3))))),0)</f>
        <v>0</v>
      </c>
      <c r="P10" s="288">
        <f>ROUND((IF((Data!P$39&lt;=300000),0,IF(AND((Data!P$39&gt;300000),(Data!P$39&lt;=500000)),(Data!P$39-300000)*0.1, IF(AND((Data!P$39&gt;500000),(Data!P$39&lt;=1000000)),(20000+(Data!P$39-500000)*0.2),(120000+(Data!P$39-1000000)*0.3))))),0)</f>
        <v>0</v>
      </c>
      <c r="Q10" s="288">
        <f>ROUND((IF((Data!Q$39&lt;=250000),0,IF(AND((Data!Q$39&gt;250000),(Data!Q$39&lt;=500000)),(Data!Q$39-250000)*0.1, IF(AND((Data!Q$39&gt;500000),(Data!Q$39&lt;=1000000)),(25000+(Data!Q$39-500000)*0.2),(125000+(Data!Q$39-1000000)*0.3))))),0)</f>
        <v>0</v>
      </c>
      <c r="R10" s="288">
        <f>ROUND((IF((Data!R$39&lt;=250000),0,IF(AND((Data!R$39&gt;250000),(Data!R$39&lt;=500000)),(Data!R$39-250000)*0.1, IF(AND((Data!R$39&gt;500000),(Data!R$39&lt;=1000000)),(25000+(Data!R$39-500000)*0.2),(125000+(Data!R$39-1000000)*0.3))))),0)</f>
        <v>0</v>
      </c>
      <c r="S10" s="288">
        <f>ROUND((IF((Data!S$39&lt;=250000),0,IF(AND((Data!S$39&gt;250000),(Data!S$39&lt;=500000)),(Data!S$39-250000)*0.1, IF(AND((Data!S$39&gt;500000),(Data!S$39&lt;=800000)),(25000+(Data!S$39-500000)*0.2),(85000+(Data!S$39-800000)*0.3))))),0)</f>
        <v>0</v>
      </c>
      <c r="T10" s="288">
        <f>ROUND((IF((Data!T$39&lt;=240000),0,IF(AND((Data!T$39&gt;240000),(Data!T$39&lt;=500000)),(Data!T$39-240000)*0.1, IF(AND((Data!T$39&gt;500000),(Data!T$39&lt;=800000)),(26000+(Data!T$39-500000)*0.2),(86000+(Data!T$39-800000)*0.3))))),0)</f>
        <v>0</v>
      </c>
      <c r="U10" s="288">
        <f>ROUND((IF((Data!U$39&lt;=240000),0,IF(AND((Data!U$39&gt;240000),(Data!U$39&lt;=300000)),(Data!U$39-240000)*0.1, IF(AND((Data!U$39&gt;300000),(Data!U$39&lt;=500000)),(6000+(Data!U$39-300000)*0.2),(46000+(Data!U$39-500000)*0.3))))),0)</f>
        <v>0</v>
      </c>
      <c r="V10" s="192"/>
      <c r="W10" s="287">
        <f>ROUND(((IF((Data!F$39&lt;=300000),0,IF(AND((Data!F$39&gt;300000),(Data!F$39&lt;=700000)),(Data!F$39-300000)*0.05,IF(AND((Data!F$39&gt;700000),(Data!F$39&lt;=1000000)),(20000+(Data!F$39-700000)*0.1),IF(AND((Data!F$39&gt;1000000),(Data!F$39&lt;=1200000)),(50000+(Data!F$39-1000000)*0.15),IF(AND((Data!F$39&gt;1200000),(Data!F$39&lt;=1500000)),(80000+(Data!F$39-1200000)*0.2),(140000+(Data!F$39-1500000)*0.3)))))))),0)</f>
        <v>0</v>
      </c>
      <c r="X10" s="287">
        <f>ROUND(((IF((Data!G$39&lt;=300000),0,IF(AND((Data!G$39&gt;300000),(Data!G$39&lt;=600000)),(Data!G$39-300000)*0.05,IF(AND((Data!G$39&gt;600000),(Data!G$39&lt;=900000)),(15000+(Data!G$39-600000)*0.1),IF(AND((Data!G$39&gt;900000),(Data!G$39&lt;=1200000)),(45000+(Data!G$39-900000)*0.15),IF(AND((Data!G$39&gt;1200000),(Data!G$39&lt;=1500000)),(90000+(Data!G$39-1200000)*0.2),(150000+(Data!G$39-1500000)*0.3)))))))),0)</f>
        <v>0</v>
      </c>
      <c r="Y10" s="284">
        <f>ROUND((IF((Data!H$39&lt;=250000),0,IF(AND((Data!H$39&gt;250000),(Data!H$39&lt;=500000)),(Data!H$39-250000)*0.05,IF(AND((Data!H$39&gt;500000),(Data!H$39&lt;=750000)),(12500+(Data!H$39-500000)*0.1),IF(AND((Data!H$39&gt;750000),(Data!H$39&lt;=1000000)),(37500+(Data!H$39-750000)*0.15),IF(AND((Data!H$39&gt;1000000),(Data!H$39&lt;=1250000)),(75000+(Data!H$39-1000000)*0.2),IF(AND((Data!H$39&gt;1250000),(Data!H$39&lt;=1500000)),(125000+(Data!H$39-1250000)*0.25), (187500+(Data!H$39-1500000)*0.3)))))))),0)</f>
        <v>0</v>
      </c>
      <c r="Z10" s="284">
        <f>ROUND((IF((Data!I$39&lt;=250000),0,IF(AND((Data!I$39&gt;250000),(Data!I$39&lt;=500000)),(Data!I$39-250000)*0.05,IF(AND((Data!I$39&gt;500000),(Data!I$39&lt;=750000)),(12500+(Data!I$39-500000)*0.1),IF(AND((Data!I$39&gt;750000),(Data!I$39&lt;=1000000)),(37500+(Data!I$39-750000)*0.15),IF(AND((Data!I$39&gt;1000000),(Data!I$39&lt;=1250000)),(75000+(Data!I$39-1000000)*0.2),IF(AND((Data!I$39&gt;1250000),(Data!I$39&lt;=1500000)),(125000+(Data!I$39-1250000)*0.25), (187500+(Data!I$39-1500000)*0.3)))))))),0)</f>
        <v>0</v>
      </c>
      <c r="AA10" s="284">
        <f>ROUND((IF((Data!J$39&lt;=250000),0,IF(AND((Data!J$39&gt;250000),(Data!J$39&lt;=500000)),(Data!J$39-250000)*0.05,IF(AND((Data!J$39&gt;500000),(Data!J$39&lt;=750000)),(12500+(Data!J$39-500000)*0.1),IF(AND((Data!J$39&gt;750000),(Data!J$39&lt;=1000000)),(37500+(Data!J$39-750000)*0.15),IF(AND((Data!J$39&gt;1000000),(Data!J$39&lt;=1250000)),(75000+(Data!J$39-1000000)*0.2),IF(AND((Data!J$39&gt;1250000),(Data!J$39&lt;=1500000)),(125000+(Data!J$39-1250000)*0.25), (187500+(Data!J$39-1500000)*0.3)))))))),0)</f>
        <v>0</v>
      </c>
    </row>
    <row r="11" spans="1:27" ht="14.25" customHeight="1" x14ac:dyDescent="0.25">
      <c r="A11" s="162">
        <v>10</v>
      </c>
      <c r="B11" s="162" t="s">
        <v>419</v>
      </c>
      <c r="C11" s="151" t="s">
        <v>420</v>
      </c>
      <c r="E11" s="191"/>
      <c r="F11" s="191"/>
      <c r="G11" s="191"/>
      <c r="H11" s="236"/>
      <c r="I11" s="237"/>
      <c r="J11" s="237"/>
      <c r="K11" s="238"/>
      <c r="L11" s="238"/>
      <c r="M11" s="238"/>
      <c r="N11" s="238"/>
      <c r="O11" s="238"/>
      <c r="W11" s="235"/>
      <c r="X11" s="235"/>
    </row>
    <row r="12" spans="1:27" ht="14.25" customHeight="1" x14ac:dyDescent="0.25">
      <c r="A12" s="162">
        <v>11</v>
      </c>
      <c r="B12" s="162" t="s">
        <v>419</v>
      </c>
      <c r="C12" s="151" t="s">
        <v>359</v>
      </c>
      <c r="W12" s="235"/>
      <c r="X12" s="235"/>
    </row>
    <row r="13" spans="1:27" ht="14.25" customHeight="1" x14ac:dyDescent="0.25">
      <c r="A13" s="162">
        <v>12</v>
      </c>
      <c r="B13" s="162" t="s">
        <v>419</v>
      </c>
      <c r="C13" s="151" t="s">
        <v>363</v>
      </c>
      <c r="E13" s="191"/>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7" ht="14.25" customHeight="1" x14ac:dyDescent="0.25">
      <c r="A14" s="162">
        <v>13</v>
      </c>
      <c r="B14" s="162" t="s">
        <v>419</v>
      </c>
    </row>
    <row r="15" spans="1:27" ht="14.25" customHeight="1" x14ac:dyDescent="0.25">
      <c r="A15" s="162">
        <v>14</v>
      </c>
      <c r="B15" s="162" t="s">
        <v>419</v>
      </c>
      <c r="F15" s="550" t="s">
        <v>130</v>
      </c>
      <c r="G15" s="550"/>
      <c r="H15" s="550"/>
      <c r="I15" s="550"/>
      <c r="J15" s="550"/>
      <c r="K15" s="550"/>
      <c r="L15" s="550"/>
      <c r="M15" s="550"/>
      <c r="N15" s="550"/>
      <c r="O15" s="550"/>
      <c r="P15" s="550"/>
      <c r="Q15" s="550"/>
      <c r="R15" s="550"/>
      <c r="S15" s="550"/>
      <c r="T15" s="550"/>
      <c r="U15" s="550"/>
      <c r="W15" s="550" t="s">
        <v>131</v>
      </c>
      <c r="X15" s="550"/>
      <c r="Y15" s="550"/>
      <c r="Z15" s="550"/>
      <c r="AA15" s="550"/>
    </row>
    <row r="16" spans="1:27" ht="14.25" customHeight="1" x14ac:dyDescent="0.25">
      <c r="A16" s="162">
        <v>15</v>
      </c>
      <c r="B16" s="162" t="s">
        <v>419</v>
      </c>
    </row>
    <row r="17" spans="1:2" ht="14.25" customHeight="1" x14ac:dyDescent="0.25">
      <c r="A17" s="162">
        <v>16</v>
      </c>
      <c r="B17" s="162" t="s">
        <v>419</v>
      </c>
    </row>
    <row r="18" spans="1:2" ht="14.25" customHeight="1" x14ac:dyDescent="0.25">
      <c r="A18" s="162">
        <v>17</v>
      </c>
      <c r="B18" s="162" t="s">
        <v>419</v>
      </c>
    </row>
    <row r="19" spans="1:2" ht="14.25" customHeight="1" x14ac:dyDescent="0.25">
      <c r="A19" s="162">
        <v>18</v>
      </c>
      <c r="B19" s="162" t="s">
        <v>419</v>
      </c>
    </row>
    <row r="20" spans="1:2" ht="14.25" customHeight="1" x14ac:dyDescent="0.25">
      <c r="A20" s="162">
        <v>19</v>
      </c>
      <c r="B20" s="162" t="s">
        <v>419</v>
      </c>
    </row>
    <row r="21" spans="1:2" ht="14.25" customHeight="1" x14ac:dyDescent="0.25">
      <c r="A21" s="162">
        <v>20</v>
      </c>
      <c r="B21" s="162" t="s">
        <v>419</v>
      </c>
    </row>
    <row r="22" spans="1:2" ht="14.25" customHeight="1" x14ac:dyDescent="0.25">
      <c r="A22" s="162">
        <v>21</v>
      </c>
      <c r="B22" s="162" t="s">
        <v>413</v>
      </c>
    </row>
    <row r="23" spans="1:2" ht="14.25" customHeight="1" x14ac:dyDescent="0.25">
      <c r="A23" s="162">
        <v>22</v>
      </c>
      <c r="B23" s="162" t="s">
        <v>415</v>
      </c>
    </row>
    <row r="24" spans="1:2" ht="14.25" customHeight="1" x14ac:dyDescent="0.25">
      <c r="A24" s="162">
        <v>23</v>
      </c>
      <c r="B24" s="162" t="s">
        <v>418</v>
      </c>
    </row>
    <row r="25" spans="1:2" ht="14.25" customHeight="1" x14ac:dyDescent="0.25">
      <c r="A25" s="162">
        <v>24</v>
      </c>
      <c r="B25" s="162" t="s">
        <v>419</v>
      </c>
    </row>
    <row r="26" spans="1:2" ht="14.25" customHeight="1" x14ac:dyDescent="0.25">
      <c r="A26" s="162">
        <v>25</v>
      </c>
      <c r="B26" s="162" t="s">
        <v>419</v>
      </c>
    </row>
    <row r="27" spans="1:2" ht="14.25" customHeight="1" x14ac:dyDescent="0.25">
      <c r="A27" s="162">
        <v>26</v>
      </c>
      <c r="B27" s="162" t="s">
        <v>419</v>
      </c>
    </row>
    <row r="28" spans="1:2" ht="14.25" customHeight="1" x14ac:dyDescent="0.25">
      <c r="A28" s="162">
        <v>27</v>
      </c>
      <c r="B28" s="162" t="s">
        <v>419</v>
      </c>
    </row>
    <row r="29" spans="1:2" ht="14.25" customHeight="1" x14ac:dyDescent="0.25">
      <c r="A29" s="162">
        <v>28</v>
      </c>
      <c r="B29" s="162" t="s">
        <v>419</v>
      </c>
    </row>
    <row r="30" spans="1:2" ht="14.25" customHeight="1" x14ac:dyDescent="0.25">
      <c r="A30" s="162">
        <v>29</v>
      </c>
      <c r="B30" s="162" t="s">
        <v>419</v>
      </c>
    </row>
    <row r="31" spans="1:2" ht="14.25" customHeight="1" x14ac:dyDescent="0.25">
      <c r="A31" s="162">
        <v>30</v>
      </c>
      <c r="B31" s="162" t="s">
        <v>419</v>
      </c>
    </row>
    <row r="32" spans="1:2" ht="14.25" customHeight="1" x14ac:dyDescent="0.25">
      <c r="A32" s="162">
        <v>31</v>
      </c>
      <c r="B32" s="162" t="s">
        <v>413</v>
      </c>
    </row>
  </sheetData>
  <sheetProtection algorithmName="SHA-512" hashValue="I0Y7bVZAkKcj+qdNwnlcNwDV6/Qvm8jGFmO1MP72GKIQqaBle4mCYTBDLcbUz8atKbxN4Zdd2DDt/tjxI/k8pA==" saltValue="Vrqa7widLlunUUtiAJVuBg==" spinCount="100000" sheet="1" selectLockedCells="1" selectUnlockedCells="1"/>
  <mergeCells count="2">
    <mergeCell ref="W15:AA15"/>
    <mergeCell ref="F15:U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23D8-1D1C-461D-A4E5-D87B77EE7CD5}">
  <sheetPr codeName="Sheet4"/>
  <dimension ref="A1:M81"/>
  <sheetViews>
    <sheetView showGridLines="0" zoomScaleNormal="100" workbookViewId="0">
      <pane ySplit="4" topLeftCell="A5" activePane="bottomLeft" state="frozen"/>
      <selection activeCell="B3" sqref="B3:H3"/>
      <selection pane="bottomLeft" activeCell="B3" sqref="B3:H3"/>
    </sheetView>
  </sheetViews>
  <sheetFormatPr defaultRowHeight="13.2" x14ac:dyDescent="0.25"/>
  <cols>
    <col min="1" max="1" width="6" style="151" customWidth="1"/>
    <col min="2" max="2" width="23.44140625" style="151" customWidth="1"/>
    <col min="3" max="3" width="20.33203125" style="151" customWidth="1"/>
    <col min="4" max="4" width="18.6640625" style="151" customWidth="1"/>
    <col min="5" max="5" width="18.33203125" style="162" customWidth="1"/>
    <col min="6" max="6" width="15.33203125" style="151" customWidth="1"/>
    <col min="7" max="7" width="37.44140625" style="151" customWidth="1"/>
    <col min="8" max="8" width="15.88671875" style="151" customWidth="1"/>
    <col min="9" max="255" width="9.109375" style="151"/>
    <col min="256" max="256" width="16" style="151" customWidth="1"/>
    <col min="257" max="257" width="6" style="151" customWidth="1"/>
    <col min="258" max="258" width="23.44140625" style="151" customWidth="1"/>
    <col min="259" max="260" width="22.88671875" style="151" customWidth="1"/>
    <col min="261" max="261" width="20.6640625" style="151" customWidth="1"/>
    <col min="262" max="262" width="15.33203125" style="151" customWidth="1"/>
    <col min="263" max="263" width="37.44140625" style="151" customWidth="1"/>
    <col min="264" max="511" width="9.109375" style="151"/>
    <col min="512" max="512" width="16" style="151" customWidth="1"/>
    <col min="513" max="513" width="6" style="151" customWidth="1"/>
    <col min="514" max="514" width="23.44140625" style="151" customWidth="1"/>
    <col min="515" max="516" width="22.88671875" style="151" customWidth="1"/>
    <col min="517" max="517" width="20.6640625" style="151" customWidth="1"/>
    <col min="518" max="518" width="15.33203125" style="151" customWidth="1"/>
    <col min="519" max="519" width="37.44140625" style="151" customWidth="1"/>
    <col min="520" max="767" width="9.109375" style="151"/>
    <col min="768" max="768" width="16" style="151" customWidth="1"/>
    <col min="769" max="769" width="6" style="151" customWidth="1"/>
    <col min="770" max="770" width="23.44140625" style="151" customWidth="1"/>
    <col min="771" max="772" width="22.88671875" style="151" customWidth="1"/>
    <col min="773" max="773" width="20.6640625" style="151" customWidth="1"/>
    <col min="774" max="774" width="15.33203125" style="151" customWidth="1"/>
    <col min="775" max="775" width="37.44140625" style="151" customWidth="1"/>
    <col min="776" max="1023" width="9.109375" style="151"/>
    <col min="1024" max="1024" width="16" style="151" customWidth="1"/>
    <col min="1025" max="1025" width="6" style="151" customWidth="1"/>
    <col min="1026" max="1026" width="23.44140625" style="151" customWidth="1"/>
    <col min="1027" max="1028" width="22.88671875" style="151" customWidth="1"/>
    <col min="1029" max="1029" width="20.6640625" style="151" customWidth="1"/>
    <col min="1030" max="1030" width="15.33203125" style="151" customWidth="1"/>
    <col min="1031" max="1031" width="37.44140625" style="151" customWidth="1"/>
    <col min="1032" max="1279" width="9.109375" style="151"/>
    <col min="1280" max="1280" width="16" style="151" customWidth="1"/>
    <col min="1281" max="1281" width="6" style="151" customWidth="1"/>
    <col min="1282" max="1282" width="23.44140625" style="151" customWidth="1"/>
    <col min="1283" max="1284" width="22.88671875" style="151" customWidth="1"/>
    <col min="1285" max="1285" width="20.6640625" style="151" customWidth="1"/>
    <col min="1286" max="1286" width="15.33203125" style="151" customWidth="1"/>
    <col min="1287" max="1287" width="37.44140625" style="151" customWidth="1"/>
    <col min="1288" max="1535" width="9.109375" style="151"/>
    <col min="1536" max="1536" width="16" style="151" customWidth="1"/>
    <col min="1537" max="1537" width="6" style="151" customWidth="1"/>
    <col min="1538" max="1538" width="23.44140625" style="151" customWidth="1"/>
    <col min="1539" max="1540" width="22.88671875" style="151" customWidth="1"/>
    <col min="1541" max="1541" width="20.6640625" style="151" customWidth="1"/>
    <col min="1542" max="1542" width="15.33203125" style="151" customWidth="1"/>
    <col min="1543" max="1543" width="37.44140625" style="151" customWidth="1"/>
    <col min="1544" max="1791" width="9.109375" style="151"/>
    <col min="1792" max="1792" width="16" style="151" customWidth="1"/>
    <col min="1793" max="1793" width="6" style="151" customWidth="1"/>
    <col min="1794" max="1794" width="23.44140625" style="151" customWidth="1"/>
    <col min="1795" max="1796" width="22.88671875" style="151" customWidth="1"/>
    <col min="1797" max="1797" width="20.6640625" style="151" customWidth="1"/>
    <col min="1798" max="1798" width="15.33203125" style="151" customWidth="1"/>
    <col min="1799" max="1799" width="37.44140625" style="151" customWidth="1"/>
    <col min="1800" max="2047" width="9.109375" style="151"/>
    <col min="2048" max="2048" width="16" style="151" customWidth="1"/>
    <col min="2049" max="2049" width="6" style="151" customWidth="1"/>
    <col min="2050" max="2050" width="23.44140625" style="151" customWidth="1"/>
    <col min="2051" max="2052" width="22.88671875" style="151" customWidth="1"/>
    <col min="2053" max="2053" width="20.6640625" style="151" customWidth="1"/>
    <col min="2054" max="2054" width="15.33203125" style="151" customWidth="1"/>
    <col min="2055" max="2055" width="37.44140625" style="151" customWidth="1"/>
    <col min="2056" max="2303" width="9.109375" style="151"/>
    <col min="2304" max="2304" width="16" style="151" customWidth="1"/>
    <col min="2305" max="2305" width="6" style="151" customWidth="1"/>
    <col min="2306" max="2306" width="23.44140625" style="151" customWidth="1"/>
    <col min="2307" max="2308" width="22.88671875" style="151" customWidth="1"/>
    <col min="2309" max="2309" width="20.6640625" style="151" customWidth="1"/>
    <col min="2310" max="2310" width="15.33203125" style="151" customWidth="1"/>
    <col min="2311" max="2311" width="37.44140625" style="151" customWidth="1"/>
    <col min="2312" max="2559" width="9.109375" style="151"/>
    <col min="2560" max="2560" width="16" style="151" customWidth="1"/>
    <col min="2561" max="2561" width="6" style="151" customWidth="1"/>
    <col min="2562" max="2562" width="23.44140625" style="151" customWidth="1"/>
    <col min="2563" max="2564" width="22.88671875" style="151" customWidth="1"/>
    <col min="2565" max="2565" width="20.6640625" style="151" customWidth="1"/>
    <col min="2566" max="2566" width="15.33203125" style="151" customWidth="1"/>
    <col min="2567" max="2567" width="37.44140625" style="151" customWidth="1"/>
    <col min="2568" max="2815" width="9.109375" style="151"/>
    <col min="2816" max="2816" width="16" style="151" customWidth="1"/>
    <col min="2817" max="2817" width="6" style="151" customWidth="1"/>
    <col min="2818" max="2818" width="23.44140625" style="151" customWidth="1"/>
    <col min="2819" max="2820" width="22.88671875" style="151" customWidth="1"/>
    <col min="2821" max="2821" width="20.6640625" style="151" customWidth="1"/>
    <col min="2822" max="2822" width="15.33203125" style="151" customWidth="1"/>
    <col min="2823" max="2823" width="37.44140625" style="151" customWidth="1"/>
    <col min="2824" max="3071" width="9.109375" style="151"/>
    <col min="3072" max="3072" width="16" style="151" customWidth="1"/>
    <col min="3073" max="3073" width="6" style="151" customWidth="1"/>
    <col min="3074" max="3074" width="23.44140625" style="151" customWidth="1"/>
    <col min="3075" max="3076" width="22.88671875" style="151" customWidth="1"/>
    <col min="3077" max="3077" width="20.6640625" style="151" customWidth="1"/>
    <col min="3078" max="3078" width="15.33203125" style="151" customWidth="1"/>
    <col min="3079" max="3079" width="37.44140625" style="151" customWidth="1"/>
    <col min="3080" max="3327" width="9.109375" style="151"/>
    <col min="3328" max="3328" width="16" style="151" customWidth="1"/>
    <col min="3329" max="3329" width="6" style="151" customWidth="1"/>
    <col min="3330" max="3330" width="23.44140625" style="151" customWidth="1"/>
    <col min="3331" max="3332" width="22.88671875" style="151" customWidth="1"/>
    <col min="3333" max="3333" width="20.6640625" style="151" customWidth="1"/>
    <col min="3334" max="3334" width="15.33203125" style="151" customWidth="1"/>
    <col min="3335" max="3335" width="37.44140625" style="151" customWidth="1"/>
    <col min="3336" max="3583" width="9.109375" style="151"/>
    <col min="3584" max="3584" width="16" style="151" customWidth="1"/>
    <col min="3585" max="3585" width="6" style="151" customWidth="1"/>
    <col min="3586" max="3586" width="23.44140625" style="151" customWidth="1"/>
    <col min="3587" max="3588" width="22.88671875" style="151" customWidth="1"/>
    <col min="3589" max="3589" width="20.6640625" style="151" customWidth="1"/>
    <col min="3590" max="3590" width="15.33203125" style="151" customWidth="1"/>
    <col min="3591" max="3591" width="37.44140625" style="151" customWidth="1"/>
    <col min="3592" max="3839" width="9.109375" style="151"/>
    <col min="3840" max="3840" width="16" style="151" customWidth="1"/>
    <col min="3841" max="3841" width="6" style="151" customWidth="1"/>
    <col min="3842" max="3842" width="23.44140625" style="151" customWidth="1"/>
    <col min="3843" max="3844" width="22.88671875" style="151" customWidth="1"/>
    <col min="3845" max="3845" width="20.6640625" style="151" customWidth="1"/>
    <col min="3846" max="3846" width="15.33203125" style="151" customWidth="1"/>
    <col min="3847" max="3847" width="37.44140625" style="151" customWidth="1"/>
    <col min="3848" max="4095" width="9.109375" style="151"/>
    <col min="4096" max="4096" width="16" style="151" customWidth="1"/>
    <col min="4097" max="4097" width="6" style="151" customWidth="1"/>
    <col min="4098" max="4098" width="23.44140625" style="151" customWidth="1"/>
    <col min="4099" max="4100" width="22.88671875" style="151" customWidth="1"/>
    <col min="4101" max="4101" width="20.6640625" style="151" customWidth="1"/>
    <col min="4102" max="4102" width="15.33203125" style="151" customWidth="1"/>
    <col min="4103" max="4103" width="37.44140625" style="151" customWidth="1"/>
    <col min="4104" max="4351" width="9.109375" style="151"/>
    <col min="4352" max="4352" width="16" style="151" customWidth="1"/>
    <col min="4353" max="4353" width="6" style="151" customWidth="1"/>
    <col min="4354" max="4354" width="23.44140625" style="151" customWidth="1"/>
    <col min="4355" max="4356" width="22.88671875" style="151" customWidth="1"/>
    <col min="4357" max="4357" width="20.6640625" style="151" customWidth="1"/>
    <col min="4358" max="4358" width="15.33203125" style="151" customWidth="1"/>
    <col min="4359" max="4359" width="37.44140625" style="151" customWidth="1"/>
    <col min="4360" max="4607" width="9.109375" style="151"/>
    <col min="4608" max="4608" width="16" style="151" customWidth="1"/>
    <col min="4609" max="4609" width="6" style="151" customWidth="1"/>
    <col min="4610" max="4610" width="23.44140625" style="151" customWidth="1"/>
    <col min="4611" max="4612" width="22.88671875" style="151" customWidth="1"/>
    <col min="4613" max="4613" width="20.6640625" style="151" customWidth="1"/>
    <col min="4614" max="4614" width="15.33203125" style="151" customWidth="1"/>
    <col min="4615" max="4615" width="37.44140625" style="151" customWidth="1"/>
    <col min="4616" max="4863" width="9.109375" style="151"/>
    <col min="4864" max="4864" width="16" style="151" customWidth="1"/>
    <col min="4865" max="4865" width="6" style="151" customWidth="1"/>
    <col min="4866" max="4866" width="23.44140625" style="151" customWidth="1"/>
    <col min="4867" max="4868" width="22.88671875" style="151" customWidth="1"/>
    <col min="4869" max="4869" width="20.6640625" style="151" customWidth="1"/>
    <col min="4870" max="4870" width="15.33203125" style="151" customWidth="1"/>
    <col min="4871" max="4871" width="37.44140625" style="151" customWidth="1"/>
    <col min="4872" max="5119" width="9.109375" style="151"/>
    <col min="5120" max="5120" width="16" style="151" customWidth="1"/>
    <col min="5121" max="5121" width="6" style="151" customWidth="1"/>
    <col min="5122" max="5122" width="23.44140625" style="151" customWidth="1"/>
    <col min="5123" max="5124" width="22.88671875" style="151" customWidth="1"/>
    <col min="5125" max="5125" width="20.6640625" style="151" customWidth="1"/>
    <col min="5126" max="5126" width="15.33203125" style="151" customWidth="1"/>
    <col min="5127" max="5127" width="37.44140625" style="151" customWidth="1"/>
    <col min="5128" max="5375" width="9.109375" style="151"/>
    <col min="5376" max="5376" width="16" style="151" customWidth="1"/>
    <col min="5377" max="5377" width="6" style="151" customWidth="1"/>
    <col min="5378" max="5378" width="23.44140625" style="151" customWidth="1"/>
    <col min="5379" max="5380" width="22.88671875" style="151" customWidth="1"/>
    <col min="5381" max="5381" width="20.6640625" style="151" customWidth="1"/>
    <col min="5382" max="5382" width="15.33203125" style="151" customWidth="1"/>
    <col min="5383" max="5383" width="37.44140625" style="151" customWidth="1"/>
    <col min="5384" max="5631" width="9.109375" style="151"/>
    <col min="5632" max="5632" width="16" style="151" customWidth="1"/>
    <col min="5633" max="5633" width="6" style="151" customWidth="1"/>
    <col min="5634" max="5634" width="23.44140625" style="151" customWidth="1"/>
    <col min="5635" max="5636" width="22.88671875" style="151" customWidth="1"/>
    <col min="5637" max="5637" width="20.6640625" style="151" customWidth="1"/>
    <col min="5638" max="5638" width="15.33203125" style="151" customWidth="1"/>
    <col min="5639" max="5639" width="37.44140625" style="151" customWidth="1"/>
    <col min="5640" max="5887" width="9.109375" style="151"/>
    <col min="5888" max="5888" width="16" style="151" customWidth="1"/>
    <col min="5889" max="5889" width="6" style="151" customWidth="1"/>
    <col min="5890" max="5890" width="23.44140625" style="151" customWidth="1"/>
    <col min="5891" max="5892" width="22.88671875" style="151" customWidth="1"/>
    <col min="5893" max="5893" width="20.6640625" style="151" customWidth="1"/>
    <col min="5894" max="5894" width="15.33203125" style="151" customWidth="1"/>
    <col min="5895" max="5895" width="37.44140625" style="151" customWidth="1"/>
    <col min="5896" max="6143" width="9.109375" style="151"/>
    <col min="6144" max="6144" width="16" style="151" customWidth="1"/>
    <col min="6145" max="6145" width="6" style="151" customWidth="1"/>
    <col min="6146" max="6146" width="23.44140625" style="151" customWidth="1"/>
    <col min="6147" max="6148" width="22.88671875" style="151" customWidth="1"/>
    <col min="6149" max="6149" width="20.6640625" style="151" customWidth="1"/>
    <col min="6150" max="6150" width="15.33203125" style="151" customWidth="1"/>
    <col min="6151" max="6151" width="37.44140625" style="151" customWidth="1"/>
    <col min="6152" max="6399" width="9.109375" style="151"/>
    <col min="6400" max="6400" width="16" style="151" customWidth="1"/>
    <col min="6401" max="6401" width="6" style="151" customWidth="1"/>
    <col min="6402" max="6402" width="23.44140625" style="151" customWidth="1"/>
    <col min="6403" max="6404" width="22.88671875" style="151" customWidth="1"/>
    <col min="6405" max="6405" width="20.6640625" style="151" customWidth="1"/>
    <col min="6406" max="6406" width="15.33203125" style="151" customWidth="1"/>
    <col min="6407" max="6407" width="37.44140625" style="151" customWidth="1"/>
    <col min="6408" max="6655" width="9.109375" style="151"/>
    <col min="6656" max="6656" width="16" style="151" customWidth="1"/>
    <col min="6657" max="6657" width="6" style="151" customWidth="1"/>
    <col min="6658" max="6658" width="23.44140625" style="151" customWidth="1"/>
    <col min="6659" max="6660" width="22.88671875" style="151" customWidth="1"/>
    <col min="6661" max="6661" width="20.6640625" style="151" customWidth="1"/>
    <col min="6662" max="6662" width="15.33203125" style="151" customWidth="1"/>
    <col min="6663" max="6663" width="37.44140625" style="151" customWidth="1"/>
    <col min="6664" max="6911" width="9.109375" style="151"/>
    <col min="6912" max="6912" width="16" style="151" customWidth="1"/>
    <col min="6913" max="6913" width="6" style="151" customWidth="1"/>
    <col min="6914" max="6914" width="23.44140625" style="151" customWidth="1"/>
    <col min="6915" max="6916" width="22.88671875" style="151" customWidth="1"/>
    <col min="6917" max="6917" width="20.6640625" style="151" customWidth="1"/>
    <col min="6918" max="6918" width="15.33203125" style="151" customWidth="1"/>
    <col min="6919" max="6919" width="37.44140625" style="151" customWidth="1"/>
    <col min="6920" max="7167" width="9.109375" style="151"/>
    <col min="7168" max="7168" width="16" style="151" customWidth="1"/>
    <col min="7169" max="7169" width="6" style="151" customWidth="1"/>
    <col min="7170" max="7170" width="23.44140625" style="151" customWidth="1"/>
    <col min="7171" max="7172" width="22.88671875" style="151" customWidth="1"/>
    <col min="7173" max="7173" width="20.6640625" style="151" customWidth="1"/>
    <col min="7174" max="7174" width="15.33203125" style="151" customWidth="1"/>
    <col min="7175" max="7175" width="37.44140625" style="151" customWidth="1"/>
    <col min="7176" max="7423" width="9.109375" style="151"/>
    <col min="7424" max="7424" width="16" style="151" customWidth="1"/>
    <col min="7425" max="7425" width="6" style="151" customWidth="1"/>
    <col min="7426" max="7426" width="23.44140625" style="151" customWidth="1"/>
    <col min="7427" max="7428" width="22.88671875" style="151" customWidth="1"/>
    <col min="7429" max="7429" width="20.6640625" style="151" customWidth="1"/>
    <col min="7430" max="7430" width="15.33203125" style="151" customWidth="1"/>
    <col min="7431" max="7431" width="37.44140625" style="151" customWidth="1"/>
    <col min="7432" max="7679" width="9.109375" style="151"/>
    <col min="7680" max="7680" width="16" style="151" customWidth="1"/>
    <col min="7681" max="7681" width="6" style="151" customWidth="1"/>
    <col min="7682" max="7682" width="23.44140625" style="151" customWidth="1"/>
    <col min="7683" max="7684" width="22.88671875" style="151" customWidth="1"/>
    <col min="7685" max="7685" width="20.6640625" style="151" customWidth="1"/>
    <col min="7686" max="7686" width="15.33203125" style="151" customWidth="1"/>
    <col min="7687" max="7687" width="37.44140625" style="151" customWidth="1"/>
    <col min="7688" max="7935" width="9.109375" style="151"/>
    <col min="7936" max="7936" width="16" style="151" customWidth="1"/>
    <col min="7937" max="7937" width="6" style="151" customWidth="1"/>
    <col min="7938" max="7938" width="23.44140625" style="151" customWidth="1"/>
    <col min="7939" max="7940" width="22.88671875" style="151" customWidth="1"/>
    <col min="7941" max="7941" width="20.6640625" style="151" customWidth="1"/>
    <col min="7942" max="7942" width="15.33203125" style="151" customWidth="1"/>
    <col min="7943" max="7943" width="37.44140625" style="151" customWidth="1"/>
    <col min="7944" max="8191" width="9.109375" style="151"/>
    <col min="8192" max="8192" width="16" style="151" customWidth="1"/>
    <col min="8193" max="8193" width="6" style="151" customWidth="1"/>
    <col min="8194" max="8194" width="23.44140625" style="151" customWidth="1"/>
    <col min="8195" max="8196" width="22.88671875" style="151" customWidth="1"/>
    <col min="8197" max="8197" width="20.6640625" style="151" customWidth="1"/>
    <col min="8198" max="8198" width="15.33203125" style="151" customWidth="1"/>
    <col min="8199" max="8199" width="37.44140625" style="151" customWidth="1"/>
    <col min="8200" max="8447" width="9.109375" style="151"/>
    <col min="8448" max="8448" width="16" style="151" customWidth="1"/>
    <col min="8449" max="8449" width="6" style="151" customWidth="1"/>
    <col min="8450" max="8450" width="23.44140625" style="151" customWidth="1"/>
    <col min="8451" max="8452" width="22.88671875" style="151" customWidth="1"/>
    <col min="8453" max="8453" width="20.6640625" style="151" customWidth="1"/>
    <col min="8454" max="8454" width="15.33203125" style="151" customWidth="1"/>
    <col min="8455" max="8455" width="37.44140625" style="151" customWidth="1"/>
    <col min="8456" max="8703" width="9.109375" style="151"/>
    <col min="8704" max="8704" width="16" style="151" customWidth="1"/>
    <col min="8705" max="8705" width="6" style="151" customWidth="1"/>
    <col min="8706" max="8706" width="23.44140625" style="151" customWidth="1"/>
    <col min="8707" max="8708" width="22.88671875" style="151" customWidth="1"/>
    <col min="8709" max="8709" width="20.6640625" style="151" customWidth="1"/>
    <col min="8710" max="8710" width="15.33203125" style="151" customWidth="1"/>
    <col min="8711" max="8711" width="37.44140625" style="151" customWidth="1"/>
    <col min="8712" max="8959" width="9.109375" style="151"/>
    <col min="8960" max="8960" width="16" style="151" customWidth="1"/>
    <col min="8961" max="8961" width="6" style="151" customWidth="1"/>
    <col min="8962" max="8962" width="23.44140625" style="151" customWidth="1"/>
    <col min="8963" max="8964" width="22.88671875" style="151" customWidth="1"/>
    <col min="8965" max="8965" width="20.6640625" style="151" customWidth="1"/>
    <col min="8966" max="8966" width="15.33203125" style="151" customWidth="1"/>
    <col min="8967" max="8967" width="37.44140625" style="151" customWidth="1"/>
    <col min="8968" max="9215" width="9.109375" style="151"/>
    <col min="9216" max="9216" width="16" style="151" customWidth="1"/>
    <col min="9217" max="9217" width="6" style="151" customWidth="1"/>
    <col min="9218" max="9218" width="23.44140625" style="151" customWidth="1"/>
    <col min="9219" max="9220" width="22.88671875" style="151" customWidth="1"/>
    <col min="9221" max="9221" width="20.6640625" style="151" customWidth="1"/>
    <col min="9222" max="9222" width="15.33203125" style="151" customWidth="1"/>
    <col min="9223" max="9223" width="37.44140625" style="151" customWidth="1"/>
    <col min="9224" max="9471" width="9.109375" style="151"/>
    <col min="9472" max="9472" width="16" style="151" customWidth="1"/>
    <col min="9473" max="9473" width="6" style="151" customWidth="1"/>
    <col min="9474" max="9474" width="23.44140625" style="151" customWidth="1"/>
    <col min="9475" max="9476" width="22.88671875" style="151" customWidth="1"/>
    <col min="9477" max="9477" width="20.6640625" style="151" customWidth="1"/>
    <col min="9478" max="9478" width="15.33203125" style="151" customWidth="1"/>
    <col min="9479" max="9479" width="37.44140625" style="151" customWidth="1"/>
    <col min="9480" max="9727" width="9.109375" style="151"/>
    <col min="9728" max="9728" width="16" style="151" customWidth="1"/>
    <col min="9729" max="9729" width="6" style="151" customWidth="1"/>
    <col min="9730" max="9730" width="23.44140625" style="151" customWidth="1"/>
    <col min="9731" max="9732" width="22.88671875" style="151" customWidth="1"/>
    <col min="9733" max="9733" width="20.6640625" style="151" customWidth="1"/>
    <col min="9734" max="9734" width="15.33203125" style="151" customWidth="1"/>
    <col min="9735" max="9735" width="37.44140625" style="151" customWidth="1"/>
    <col min="9736" max="9983" width="9.109375" style="151"/>
    <col min="9984" max="9984" width="16" style="151" customWidth="1"/>
    <col min="9985" max="9985" width="6" style="151" customWidth="1"/>
    <col min="9986" max="9986" width="23.44140625" style="151" customWidth="1"/>
    <col min="9987" max="9988" width="22.88671875" style="151" customWidth="1"/>
    <col min="9989" max="9989" width="20.6640625" style="151" customWidth="1"/>
    <col min="9990" max="9990" width="15.33203125" style="151" customWidth="1"/>
    <col min="9991" max="9991" width="37.44140625" style="151" customWidth="1"/>
    <col min="9992" max="10239" width="9.109375" style="151"/>
    <col min="10240" max="10240" width="16" style="151" customWidth="1"/>
    <col min="10241" max="10241" width="6" style="151" customWidth="1"/>
    <col min="10242" max="10242" width="23.44140625" style="151" customWidth="1"/>
    <col min="10243" max="10244" width="22.88671875" style="151" customWidth="1"/>
    <col min="10245" max="10245" width="20.6640625" style="151" customWidth="1"/>
    <col min="10246" max="10246" width="15.33203125" style="151" customWidth="1"/>
    <col min="10247" max="10247" width="37.44140625" style="151" customWidth="1"/>
    <col min="10248" max="10495" width="9.109375" style="151"/>
    <col min="10496" max="10496" width="16" style="151" customWidth="1"/>
    <col min="10497" max="10497" width="6" style="151" customWidth="1"/>
    <col min="10498" max="10498" width="23.44140625" style="151" customWidth="1"/>
    <col min="10499" max="10500" width="22.88671875" style="151" customWidth="1"/>
    <col min="10501" max="10501" width="20.6640625" style="151" customWidth="1"/>
    <col min="10502" max="10502" width="15.33203125" style="151" customWidth="1"/>
    <col min="10503" max="10503" width="37.44140625" style="151" customWidth="1"/>
    <col min="10504" max="10751" width="9.109375" style="151"/>
    <col min="10752" max="10752" width="16" style="151" customWidth="1"/>
    <col min="10753" max="10753" width="6" style="151" customWidth="1"/>
    <col min="10754" max="10754" width="23.44140625" style="151" customWidth="1"/>
    <col min="10755" max="10756" width="22.88671875" style="151" customWidth="1"/>
    <col min="10757" max="10757" width="20.6640625" style="151" customWidth="1"/>
    <col min="10758" max="10758" width="15.33203125" style="151" customWidth="1"/>
    <col min="10759" max="10759" width="37.44140625" style="151" customWidth="1"/>
    <col min="10760" max="11007" width="9.109375" style="151"/>
    <col min="11008" max="11008" width="16" style="151" customWidth="1"/>
    <col min="11009" max="11009" width="6" style="151" customWidth="1"/>
    <col min="11010" max="11010" width="23.44140625" style="151" customWidth="1"/>
    <col min="11011" max="11012" width="22.88671875" style="151" customWidth="1"/>
    <col min="11013" max="11013" width="20.6640625" style="151" customWidth="1"/>
    <col min="11014" max="11014" width="15.33203125" style="151" customWidth="1"/>
    <col min="11015" max="11015" width="37.44140625" style="151" customWidth="1"/>
    <col min="11016" max="11263" width="9.109375" style="151"/>
    <col min="11264" max="11264" width="16" style="151" customWidth="1"/>
    <col min="11265" max="11265" width="6" style="151" customWidth="1"/>
    <col min="11266" max="11266" width="23.44140625" style="151" customWidth="1"/>
    <col min="11267" max="11268" width="22.88671875" style="151" customWidth="1"/>
    <col min="11269" max="11269" width="20.6640625" style="151" customWidth="1"/>
    <col min="11270" max="11270" width="15.33203125" style="151" customWidth="1"/>
    <col min="11271" max="11271" width="37.44140625" style="151" customWidth="1"/>
    <col min="11272" max="11519" width="9.109375" style="151"/>
    <col min="11520" max="11520" width="16" style="151" customWidth="1"/>
    <col min="11521" max="11521" width="6" style="151" customWidth="1"/>
    <col min="11522" max="11522" width="23.44140625" style="151" customWidth="1"/>
    <col min="11523" max="11524" width="22.88671875" style="151" customWidth="1"/>
    <col min="11525" max="11525" width="20.6640625" style="151" customWidth="1"/>
    <col min="11526" max="11526" width="15.33203125" style="151" customWidth="1"/>
    <col min="11527" max="11527" width="37.44140625" style="151" customWidth="1"/>
    <col min="11528" max="11775" width="9.109375" style="151"/>
    <col min="11776" max="11776" width="16" style="151" customWidth="1"/>
    <col min="11777" max="11777" width="6" style="151" customWidth="1"/>
    <col min="11778" max="11778" width="23.44140625" style="151" customWidth="1"/>
    <col min="11779" max="11780" width="22.88671875" style="151" customWidth="1"/>
    <col min="11781" max="11781" width="20.6640625" style="151" customWidth="1"/>
    <col min="11782" max="11782" width="15.33203125" style="151" customWidth="1"/>
    <col min="11783" max="11783" width="37.44140625" style="151" customWidth="1"/>
    <col min="11784" max="12031" width="9.109375" style="151"/>
    <col min="12032" max="12032" width="16" style="151" customWidth="1"/>
    <col min="12033" max="12033" width="6" style="151" customWidth="1"/>
    <col min="12034" max="12034" width="23.44140625" style="151" customWidth="1"/>
    <col min="12035" max="12036" width="22.88671875" style="151" customWidth="1"/>
    <col min="12037" max="12037" width="20.6640625" style="151" customWidth="1"/>
    <col min="12038" max="12038" width="15.33203125" style="151" customWidth="1"/>
    <col min="12039" max="12039" width="37.44140625" style="151" customWidth="1"/>
    <col min="12040" max="12287" width="9.109375" style="151"/>
    <col min="12288" max="12288" width="16" style="151" customWidth="1"/>
    <col min="12289" max="12289" width="6" style="151" customWidth="1"/>
    <col min="12290" max="12290" width="23.44140625" style="151" customWidth="1"/>
    <col min="12291" max="12292" width="22.88671875" style="151" customWidth="1"/>
    <col min="12293" max="12293" width="20.6640625" style="151" customWidth="1"/>
    <col min="12294" max="12294" width="15.33203125" style="151" customWidth="1"/>
    <col min="12295" max="12295" width="37.44140625" style="151" customWidth="1"/>
    <col min="12296" max="12543" width="9.109375" style="151"/>
    <col min="12544" max="12544" width="16" style="151" customWidth="1"/>
    <col min="12545" max="12545" width="6" style="151" customWidth="1"/>
    <col min="12546" max="12546" width="23.44140625" style="151" customWidth="1"/>
    <col min="12547" max="12548" width="22.88671875" style="151" customWidth="1"/>
    <col min="12549" max="12549" width="20.6640625" style="151" customWidth="1"/>
    <col min="12550" max="12550" width="15.33203125" style="151" customWidth="1"/>
    <col min="12551" max="12551" width="37.44140625" style="151" customWidth="1"/>
    <col min="12552" max="12799" width="9.109375" style="151"/>
    <col min="12800" max="12800" width="16" style="151" customWidth="1"/>
    <col min="12801" max="12801" width="6" style="151" customWidth="1"/>
    <col min="12802" max="12802" width="23.44140625" style="151" customWidth="1"/>
    <col min="12803" max="12804" width="22.88671875" style="151" customWidth="1"/>
    <col min="12805" max="12805" width="20.6640625" style="151" customWidth="1"/>
    <col min="12806" max="12806" width="15.33203125" style="151" customWidth="1"/>
    <col min="12807" max="12807" width="37.44140625" style="151" customWidth="1"/>
    <col min="12808" max="13055" width="9.109375" style="151"/>
    <col min="13056" max="13056" width="16" style="151" customWidth="1"/>
    <col min="13057" max="13057" width="6" style="151" customWidth="1"/>
    <col min="13058" max="13058" width="23.44140625" style="151" customWidth="1"/>
    <col min="13059" max="13060" width="22.88671875" style="151" customWidth="1"/>
    <col min="13061" max="13061" width="20.6640625" style="151" customWidth="1"/>
    <col min="13062" max="13062" width="15.33203125" style="151" customWidth="1"/>
    <col min="13063" max="13063" width="37.44140625" style="151" customWidth="1"/>
    <col min="13064" max="13311" width="9.109375" style="151"/>
    <col min="13312" max="13312" width="16" style="151" customWidth="1"/>
    <col min="13313" max="13313" width="6" style="151" customWidth="1"/>
    <col min="13314" max="13314" width="23.44140625" style="151" customWidth="1"/>
    <col min="13315" max="13316" width="22.88671875" style="151" customWidth="1"/>
    <col min="13317" max="13317" width="20.6640625" style="151" customWidth="1"/>
    <col min="13318" max="13318" width="15.33203125" style="151" customWidth="1"/>
    <col min="13319" max="13319" width="37.44140625" style="151" customWidth="1"/>
    <col min="13320" max="13567" width="9.109375" style="151"/>
    <col min="13568" max="13568" width="16" style="151" customWidth="1"/>
    <col min="13569" max="13569" width="6" style="151" customWidth="1"/>
    <col min="13570" max="13570" width="23.44140625" style="151" customWidth="1"/>
    <col min="13571" max="13572" width="22.88671875" style="151" customWidth="1"/>
    <col min="13573" max="13573" width="20.6640625" style="151" customWidth="1"/>
    <col min="13574" max="13574" width="15.33203125" style="151" customWidth="1"/>
    <col min="13575" max="13575" width="37.44140625" style="151" customWidth="1"/>
    <col min="13576" max="13823" width="9.109375" style="151"/>
    <col min="13824" max="13824" width="16" style="151" customWidth="1"/>
    <col min="13825" max="13825" width="6" style="151" customWidth="1"/>
    <col min="13826" max="13826" width="23.44140625" style="151" customWidth="1"/>
    <col min="13827" max="13828" width="22.88671875" style="151" customWidth="1"/>
    <col min="13829" max="13829" width="20.6640625" style="151" customWidth="1"/>
    <col min="13830" max="13830" width="15.33203125" style="151" customWidth="1"/>
    <col min="13831" max="13831" width="37.44140625" style="151" customWidth="1"/>
    <col min="13832" max="14079" width="9.109375" style="151"/>
    <col min="14080" max="14080" width="16" style="151" customWidth="1"/>
    <col min="14081" max="14081" width="6" style="151" customWidth="1"/>
    <col min="14082" max="14082" width="23.44140625" style="151" customWidth="1"/>
    <col min="14083" max="14084" width="22.88671875" style="151" customWidth="1"/>
    <col min="14085" max="14085" width="20.6640625" style="151" customWidth="1"/>
    <col min="14086" max="14086" width="15.33203125" style="151" customWidth="1"/>
    <col min="14087" max="14087" width="37.44140625" style="151" customWidth="1"/>
    <col min="14088" max="14335" width="9.109375" style="151"/>
    <col min="14336" max="14336" width="16" style="151" customWidth="1"/>
    <col min="14337" max="14337" width="6" style="151" customWidth="1"/>
    <col min="14338" max="14338" width="23.44140625" style="151" customWidth="1"/>
    <col min="14339" max="14340" width="22.88671875" style="151" customWidth="1"/>
    <col min="14341" max="14341" width="20.6640625" style="151" customWidth="1"/>
    <col min="14342" max="14342" width="15.33203125" style="151" customWidth="1"/>
    <col min="14343" max="14343" width="37.44140625" style="151" customWidth="1"/>
    <col min="14344" max="14591" width="9.109375" style="151"/>
    <col min="14592" max="14592" width="16" style="151" customWidth="1"/>
    <col min="14593" max="14593" width="6" style="151" customWidth="1"/>
    <col min="14594" max="14594" width="23.44140625" style="151" customWidth="1"/>
    <col min="14595" max="14596" width="22.88671875" style="151" customWidth="1"/>
    <col min="14597" max="14597" width="20.6640625" style="151" customWidth="1"/>
    <col min="14598" max="14598" width="15.33203125" style="151" customWidth="1"/>
    <col min="14599" max="14599" width="37.44140625" style="151" customWidth="1"/>
    <col min="14600" max="14847" width="9.109375" style="151"/>
    <col min="14848" max="14848" width="16" style="151" customWidth="1"/>
    <col min="14849" max="14849" width="6" style="151" customWidth="1"/>
    <col min="14850" max="14850" width="23.44140625" style="151" customWidth="1"/>
    <col min="14851" max="14852" width="22.88671875" style="151" customWidth="1"/>
    <col min="14853" max="14853" width="20.6640625" style="151" customWidth="1"/>
    <col min="14854" max="14854" width="15.33203125" style="151" customWidth="1"/>
    <col min="14855" max="14855" width="37.44140625" style="151" customWidth="1"/>
    <col min="14856" max="15103" width="9.109375" style="151"/>
    <col min="15104" max="15104" width="16" style="151" customWidth="1"/>
    <col min="15105" max="15105" width="6" style="151" customWidth="1"/>
    <col min="15106" max="15106" width="23.44140625" style="151" customWidth="1"/>
    <col min="15107" max="15108" width="22.88671875" style="151" customWidth="1"/>
    <col min="15109" max="15109" width="20.6640625" style="151" customWidth="1"/>
    <col min="15110" max="15110" width="15.33203125" style="151" customWidth="1"/>
    <col min="15111" max="15111" width="37.44140625" style="151" customWidth="1"/>
    <col min="15112" max="15359" width="9.109375" style="151"/>
    <col min="15360" max="15360" width="16" style="151" customWidth="1"/>
    <col min="15361" max="15361" width="6" style="151" customWidth="1"/>
    <col min="15362" max="15362" width="23.44140625" style="151" customWidth="1"/>
    <col min="15363" max="15364" width="22.88671875" style="151" customWidth="1"/>
    <col min="15365" max="15365" width="20.6640625" style="151" customWidth="1"/>
    <col min="15366" max="15366" width="15.33203125" style="151" customWidth="1"/>
    <col min="15367" max="15367" width="37.44140625" style="151" customWidth="1"/>
    <col min="15368" max="15615" width="9.109375" style="151"/>
    <col min="15616" max="15616" width="16" style="151" customWidth="1"/>
    <col min="15617" max="15617" width="6" style="151" customWidth="1"/>
    <col min="15618" max="15618" width="23.44140625" style="151" customWidth="1"/>
    <col min="15619" max="15620" width="22.88671875" style="151" customWidth="1"/>
    <col min="15621" max="15621" width="20.6640625" style="151" customWidth="1"/>
    <col min="15622" max="15622" width="15.33203125" style="151" customWidth="1"/>
    <col min="15623" max="15623" width="37.44140625" style="151" customWidth="1"/>
    <col min="15624" max="15871" width="9.109375" style="151"/>
    <col min="15872" max="15872" width="16" style="151" customWidth="1"/>
    <col min="15873" max="15873" width="6" style="151" customWidth="1"/>
    <col min="15874" max="15874" width="23.44140625" style="151" customWidth="1"/>
    <col min="15875" max="15876" width="22.88671875" style="151" customWidth="1"/>
    <col min="15877" max="15877" width="20.6640625" style="151" customWidth="1"/>
    <col min="15878" max="15878" width="15.33203125" style="151" customWidth="1"/>
    <col min="15879" max="15879" width="37.44140625" style="151" customWidth="1"/>
    <col min="15880" max="16127" width="9.109375" style="151"/>
    <col min="16128" max="16128" width="16" style="151" customWidth="1"/>
    <col min="16129" max="16129" width="6" style="151" customWidth="1"/>
    <col min="16130" max="16130" width="23.44140625" style="151" customWidth="1"/>
    <col min="16131" max="16132" width="22.88671875" style="151" customWidth="1"/>
    <col min="16133" max="16133" width="20.6640625" style="151" customWidth="1"/>
    <col min="16134" max="16134" width="15.33203125" style="151" customWidth="1"/>
    <col min="16135" max="16135" width="37.44140625" style="151" customWidth="1"/>
    <col min="16136" max="16383" width="9.109375" style="151"/>
    <col min="16384" max="16384" width="9.109375" style="151" customWidth="1"/>
  </cols>
  <sheetData>
    <row r="1" spans="1:6" ht="35.25" customHeight="1" x14ac:dyDescent="0.25">
      <c r="A1" s="568" t="s">
        <v>421</v>
      </c>
      <c r="B1" s="568"/>
      <c r="C1" s="568"/>
      <c r="D1" s="568"/>
      <c r="E1" s="568"/>
      <c r="F1" s="568"/>
    </row>
    <row r="2" spans="1:6" ht="16.5" customHeight="1" x14ac:dyDescent="0.25">
      <c r="A2" s="569"/>
      <c r="B2" s="570"/>
      <c r="C2" s="570"/>
      <c r="D2" s="570"/>
      <c r="E2" s="570"/>
      <c r="F2" s="570"/>
    </row>
    <row r="3" spans="1:6" ht="14.25" customHeight="1" x14ac:dyDescent="0.25"/>
    <row r="4" spans="1:6" s="161" customFormat="1" ht="32.25" customHeight="1" x14ac:dyDescent="0.3">
      <c r="A4" s="239" t="s">
        <v>422</v>
      </c>
      <c r="B4" s="239"/>
      <c r="C4" s="239" t="s">
        <v>285</v>
      </c>
      <c r="D4" s="239" t="s">
        <v>423</v>
      </c>
      <c r="E4" s="239" t="s">
        <v>424</v>
      </c>
      <c r="F4" s="240" t="s">
        <v>425</v>
      </c>
    </row>
    <row r="5" spans="1:6" s="195" customFormat="1" ht="27" customHeight="1" x14ac:dyDescent="0.3">
      <c r="A5" s="558" t="s">
        <v>297</v>
      </c>
      <c r="B5" s="241" t="s">
        <v>426</v>
      </c>
      <c r="C5" s="242" t="s">
        <v>8</v>
      </c>
      <c r="D5" s="242" t="s">
        <v>8</v>
      </c>
      <c r="E5" s="241" t="s">
        <v>8</v>
      </c>
      <c r="F5" s="559" t="s">
        <v>427</v>
      </c>
    </row>
    <row r="6" spans="1:6" s="195" customFormat="1" ht="27" customHeight="1" x14ac:dyDescent="0.3">
      <c r="A6" s="558"/>
      <c r="B6" s="243" t="s">
        <v>428</v>
      </c>
      <c r="C6" s="244">
        <v>0.1</v>
      </c>
      <c r="D6" s="244">
        <v>0.1</v>
      </c>
      <c r="E6" s="243" t="s">
        <v>8</v>
      </c>
      <c r="F6" s="560"/>
    </row>
    <row r="7" spans="1:6" s="195" customFormat="1" ht="27" customHeight="1" x14ac:dyDescent="0.3">
      <c r="A7" s="558"/>
      <c r="B7" s="243" t="s">
        <v>429</v>
      </c>
      <c r="C7" s="244">
        <v>0.1</v>
      </c>
      <c r="D7" s="244">
        <v>0.1</v>
      </c>
      <c r="E7" s="244">
        <v>0.1</v>
      </c>
      <c r="F7" s="560"/>
    </row>
    <row r="8" spans="1:6" s="195" customFormat="1" ht="27" customHeight="1" x14ac:dyDescent="0.3">
      <c r="A8" s="558"/>
      <c r="B8" s="243" t="s">
        <v>430</v>
      </c>
      <c r="C8" s="245" t="s">
        <v>431</v>
      </c>
      <c r="D8" s="245" t="s">
        <v>432</v>
      </c>
      <c r="E8" s="246" t="s">
        <v>433</v>
      </c>
      <c r="F8" s="560"/>
    </row>
    <row r="9" spans="1:6" s="195" customFormat="1" ht="27" customHeight="1" x14ac:dyDescent="0.3">
      <c r="A9" s="558"/>
      <c r="B9" s="247" t="s">
        <v>434</v>
      </c>
      <c r="C9" s="248" t="s">
        <v>435</v>
      </c>
      <c r="D9" s="248" t="s">
        <v>436</v>
      </c>
      <c r="E9" s="249" t="s">
        <v>437</v>
      </c>
      <c r="F9" s="561"/>
    </row>
    <row r="10" spans="1:6" s="195" customFormat="1" ht="12.75" customHeight="1" x14ac:dyDescent="0.25">
      <c r="A10" s="151"/>
      <c r="B10" s="151"/>
      <c r="C10" s="151"/>
      <c r="D10" s="151"/>
      <c r="E10" s="151"/>
      <c r="F10" s="151"/>
    </row>
    <row r="11" spans="1:6" s="195" customFormat="1" ht="27" customHeight="1" x14ac:dyDescent="0.3">
      <c r="A11" s="558" t="s">
        <v>296</v>
      </c>
      <c r="B11" s="241" t="s">
        <v>426</v>
      </c>
      <c r="C11" s="242" t="s">
        <v>8</v>
      </c>
      <c r="D11" s="242" t="s">
        <v>8</v>
      </c>
      <c r="E11" s="241" t="s">
        <v>8</v>
      </c>
      <c r="F11" s="559" t="s">
        <v>427</v>
      </c>
    </row>
    <row r="12" spans="1:6" s="195" customFormat="1" ht="27" customHeight="1" x14ac:dyDescent="0.3">
      <c r="A12" s="558"/>
      <c r="B12" s="243" t="s">
        <v>428</v>
      </c>
      <c r="C12" s="244">
        <v>0.1</v>
      </c>
      <c r="D12" s="244">
        <v>0.1</v>
      </c>
      <c r="E12" s="243" t="s">
        <v>8</v>
      </c>
      <c r="F12" s="560"/>
    </row>
    <row r="13" spans="1:6" s="195" customFormat="1" ht="27" customHeight="1" x14ac:dyDescent="0.3">
      <c r="A13" s="558"/>
      <c r="B13" s="243" t="s">
        <v>429</v>
      </c>
      <c r="C13" s="244">
        <v>0.1</v>
      </c>
      <c r="D13" s="244">
        <v>0.1</v>
      </c>
      <c r="E13" s="244">
        <v>0.1</v>
      </c>
      <c r="F13" s="560"/>
    </row>
    <row r="14" spans="1:6" s="195" customFormat="1" ht="27" customHeight="1" x14ac:dyDescent="0.3">
      <c r="A14" s="558"/>
      <c r="B14" s="243" t="s">
        <v>430</v>
      </c>
      <c r="C14" s="245" t="s">
        <v>431</v>
      </c>
      <c r="D14" s="245" t="s">
        <v>432</v>
      </c>
      <c r="E14" s="246" t="s">
        <v>433</v>
      </c>
      <c r="F14" s="560"/>
    </row>
    <row r="15" spans="1:6" s="195" customFormat="1" ht="25.5" customHeight="1" x14ac:dyDescent="0.3">
      <c r="A15" s="558"/>
      <c r="B15" s="247" t="s">
        <v>434</v>
      </c>
      <c r="C15" s="248" t="s">
        <v>435</v>
      </c>
      <c r="D15" s="248" t="s">
        <v>436</v>
      </c>
      <c r="E15" s="249" t="s">
        <v>437</v>
      </c>
      <c r="F15" s="561"/>
    </row>
    <row r="16" spans="1:6" s="195" customFormat="1" ht="14.25" customHeight="1" x14ac:dyDescent="0.25">
      <c r="A16" s="151"/>
      <c r="B16" s="151"/>
      <c r="C16" s="151"/>
      <c r="D16" s="151"/>
      <c r="E16" s="151"/>
      <c r="F16" s="151"/>
    </row>
    <row r="17" spans="1:6" s="195" customFormat="1" ht="27" customHeight="1" x14ac:dyDescent="0.3">
      <c r="A17" s="558" t="s">
        <v>295</v>
      </c>
      <c r="B17" s="250" t="s">
        <v>426</v>
      </c>
      <c r="C17" s="242" t="s">
        <v>8</v>
      </c>
      <c r="D17" s="242" t="s">
        <v>8</v>
      </c>
      <c r="E17" s="241" t="s">
        <v>8</v>
      </c>
      <c r="F17" s="559" t="s">
        <v>427</v>
      </c>
    </row>
    <row r="18" spans="1:6" s="195" customFormat="1" ht="27" customHeight="1" x14ac:dyDescent="0.3">
      <c r="A18" s="558"/>
      <c r="B18" s="251" t="s">
        <v>428</v>
      </c>
      <c r="C18" s="244">
        <v>0.05</v>
      </c>
      <c r="D18" s="244">
        <v>0.05</v>
      </c>
      <c r="E18" s="243" t="s">
        <v>8</v>
      </c>
      <c r="F18" s="560"/>
    </row>
    <row r="19" spans="1:6" s="195" customFormat="1" ht="27" customHeight="1" x14ac:dyDescent="0.3">
      <c r="A19" s="558"/>
      <c r="B19" s="251" t="s">
        <v>429</v>
      </c>
      <c r="C19" s="244">
        <v>0.05</v>
      </c>
      <c r="D19" s="244">
        <v>0.05</v>
      </c>
      <c r="E19" s="244">
        <v>0.05</v>
      </c>
      <c r="F19" s="560"/>
    </row>
    <row r="20" spans="1:6" s="195" customFormat="1" ht="24" customHeight="1" x14ac:dyDescent="0.3">
      <c r="A20" s="558"/>
      <c r="B20" s="251" t="s">
        <v>430</v>
      </c>
      <c r="C20" s="245" t="s">
        <v>438</v>
      </c>
      <c r="D20" s="245" t="s">
        <v>438</v>
      </c>
      <c r="E20" s="246" t="s">
        <v>439</v>
      </c>
      <c r="F20" s="560"/>
    </row>
    <row r="21" spans="1:6" s="195" customFormat="1" ht="27" customHeight="1" x14ac:dyDescent="0.3">
      <c r="A21" s="558"/>
      <c r="B21" s="252" t="s">
        <v>434</v>
      </c>
      <c r="C21" s="248" t="s">
        <v>440</v>
      </c>
      <c r="D21" s="248" t="s">
        <v>440</v>
      </c>
      <c r="E21" s="249" t="s">
        <v>441</v>
      </c>
      <c r="F21" s="561"/>
    </row>
    <row r="22" spans="1:6" s="195" customFormat="1" ht="27" customHeight="1" x14ac:dyDescent="0.25">
      <c r="B22" s="151"/>
      <c r="C22" s="253"/>
      <c r="D22" s="253"/>
      <c r="E22" s="253"/>
      <c r="F22" s="253"/>
    </row>
    <row r="23" spans="1:6" s="195" customFormat="1" ht="24.9" customHeight="1" x14ac:dyDescent="0.3">
      <c r="A23" s="562" t="s">
        <v>294</v>
      </c>
      <c r="B23" s="250" t="s">
        <v>426</v>
      </c>
      <c r="C23" s="254" t="s">
        <v>8</v>
      </c>
      <c r="D23" s="254" t="s">
        <v>8</v>
      </c>
      <c r="E23" s="255" t="s">
        <v>8</v>
      </c>
      <c r="F23" s="565" t="s">
        <v>442</v>
      </c>
    </row>
    <row r="24" spans="1:6" s="195" customFormat="1" ht="24.9" customHeight="1" x14ac:dyDescent="0.3">
      <c r="A24" s="563"/>
      <c r="B24" s="243" t="s">
        <v>443</v>
      </c>
      <c r="C24" s="244">
        <v>0.05</v>
      </c>
      <c r="D24" s="244">
        <v>0.05</v>
      </c>
      <c r="E24" s="243" t="s">
        <v>8</v>
      </c>
      <c r="F24" s="566"/>
    </row>
    <row r="25" spans="1:6" s="195" customFormat="1" ht="24.9" customHeight="1" x14ac:dyDescent="0.3">
      <c r="A25" s="563"/>
      <c r="B25" s="243" t="s">
        <v>444</v>
      </c>
      <c r="C25" s="244" t="s">
        <v>445</v>
      </c>
      <c r="D25" s="244" t="s">
        <v>445</v>
      </c>
      <c r="E25" s="256" t="s">
        <v>446</v>
      </c>
      <c r="F25" s="566"/>
    </row>
    <row r="26" spans="1:6" s="195" customFormat="1" ht="24.9" customHeight="1" x14ac:dyDescent="0.3">
      <c r="A26" s="564"/>
      <c r="B26" s="252" t="s">
        <v>434</v>
      </c>
      <c r="C26" s="248" t="s">
        <v>440</v>
      </c>
      <c r="D26" s="248" t="s">
        <v>440</v>
      </c>
      <c r="E26" s="249" t="s">
        <v>441</v>
      </c>
      <c r="F26" s="567"/>
    </row>
    <row r="27" spans="1:6" s="195" customFormat="1" ht="27" customHeight="1" x14ac:dyDescent="0.25">
      <c r="A27" s="151"/>
      <c r="B27" s="151"/>
      <c r="C27" s="151"/>
      <c r="D27" s="151"/>
      <c r="E27" s="151"/>
      <c r="F27" s="151"/>
    </row>
    <row r="28" spans="1:6" s="195" customFormat="1" ht="24.9" customHeight="1" x14ac:dyDescent="0.3">
      <c r="A28" s="562" t="s">
        <v>293</v>
      </c>
      <c r="B28" s="250" t="s">
        <v>426</v>
      </c>
      <c r="C28" s="242" t="s">
        <v>8</v>
      </c>
      <c r="D28" s="242" t="s">
        <v>8</v>
      </c>
      <c r="E28" s="241" t="s">
        <v>8</v>
      </c>
      <c r="F28" s="565" t="s">
        <v>442</v>
      </c>
    </row>
    <row r="29" spans="1:6" s="195" customFormat="1" ht="24.9" customHeight="1" x14ac:dyDescent="0.3">
      <c r="A29" s="563"/>
      <c r="B29" s="243" t="s">
        <v>443</v>
      </c>
      <c r="C29" s="244">
        <v>0.05</v>
      </c>
      <c r="D29" s="244">
        <v>0.05</v>
      </c>
      <c r="E29" s="243" t="s">
        <v>8</v>
      </c>
      <c r="F29" s="566"/>
    </row>
    <row r="30" spans="1:6" s="195" customFormat="1" ht="24.9" customHeight="1" x14ac:dyDescent="0.3">
      <c r="A30" s="563"/>
      <c r="B30" s="243" t="s">
        <v>444</v>
      </c>
      <c r="C30" s="244" t="s">
        <v>445</v>
      </c>
      <c r="D30" s="244" t="s">
        <v>445</v>
      </c>
      <c r="E30" s="256" t="s">
        <v>446</v>
      </c>
      <c r="F30" s="566"/>
    </row>
    <row r="31" spans="1:6" s="195" customFormat="1" ht="24.9" customHeight="1" x14ac:dyDescent="0.3">
      <c r="A31" s="564"/>
      <c r="B31" s="252" t="s">
        <v>434</v>
      </c>
      <c r="C31" s="248" t="s">
        <v>440</v>
      </c>
      <c r="D31" s="248" t="s">
        <v>440</v>
      </c>
      <c r="E31" s="249" t="s">
        <v>441</v>
      </c>
      <c r="F31" s="567"/>
    </row>
    <row r="32" spans="1:6" s="195" customFormat="1" ht="27" customHeight="1" x14ac:dyDescent="0.25">
      <c r="A32" s="151"/>
      <c r="B32" s="151"/>
      <c r="C32" s="151"/>
      <c r="D32" s="151"/>
      <c r="E32" s="151"/>
      <c r="F32" s="151"/>
    </row>
    <row r="33" spans="1:6" s="195" customFormat="1" ht="20.100000000000001" customHeight="1" x14ac:dyDescent="0.25">
      <c r="A33" s="551" t="s">
        <v>292</v>
      </c>
      <c r="B33" s="553" t="s">
        <v>6</v>
      </c>
      <c r="C33" s="555" t="s">
        <v>130</v>
      </c>
      <c r="D33" s="556"/>
      <c r="E33" s="555" t="s">
        <v>131</v>
      </c>
      <c r="F33" s="557"/>
    </row>
    <row r="34" spans="1:6" s="195" customFormat="1" ht="20.100000000000001" customHeight="1" x14ac:dyDescent="0.25">
      <c r="A34" s="552"/>
      <c r="B34" s="554"/>
      <c r="C34" s="257" t="s">
        <v>129</v>
      </c>
      <c r="D34" s="258" t="s">
        <v>7</v>
      </c>
      <c r="E34" s="257" t="s">
        <v>129</v>
      </c>
      <c r="F34" s="259" t="s">
        <v>7</v>
      </c>
    </row>
    <row r="35" spans="1:6" ht="20.100000000000001" customHeight="1" x14ac:dyDescent="0.25">
      <c r="A35" s="552"/>
      <c r="B35" s="260" t="s">
        <v>447</v>
      </c>
      <c r="C35" s="261" t="s">
        <v>8</v>
      </c>
      <c r="D35" s="261" t="s">
        <v>8</v>
      </c>
      <c r="E35" s="261" t="s">
        <v>8</v>
      </c>
      <c r="F35" s="262" t="s">
        <v>8</v>
      </c>
    </row>
    <row r="36" spans="1:6" ht="20.100000000000001" customHeight="1" x14ac:dyDescent="0.25">
      <c r="A36" s="552"/>
      <c r="B36" s="260" t="s">
        <v>448</v>
      </c>
      <c r="C36" s="263">
        <v>0.05</v>
      </c>
      <c r="D36" s="263">
        <v>0.05</v>
      </c>
      <c r="E36" s="263">
        <v>0.05</v>
      </c>
      <c r="F36" s="264">
        <v>0.05</v>
      </c>
    </row>
    <row r="37" spans="1:6" ht="20.100000000000001" customHeight="1" x14ac:dyDescent="0.25">
      <c r="A37" s="552"/>
      <c r="B37" s="260" t="s">
        <v>449</v>
      </c>
      <c r="C37" s="261" t="s">
        <v>134</v>
      </c>
      <c r="D37" s="261" t="s">
        <v>133</v>
      </c>
      <c r="E37" s="263" t="s">
        <v>450</v>
      </c>
      <c r="F37" s="264" t="s">
        <v>451</v>
      </c>
    </row>
    <row r="38" spans="1:6" ht="20.100000000000001" customHeight="1" x14ac:dyDescent="0.25">
      <c r="A38" s="552"/>
      <c r="B38" s="260" t="s">
        <v>452</v>
      </c>
      <c r="C38" s="261" t="s">
        <v>134</v>
      </c>
      <c r="D38" s="261" t="s">
        <v>133</v>
      </c>
      <c r="E38" s="263" t="s">
        <v>453</v>
      </c>
      <c r="F38" s="264" t="s">
        <v>454</v>
      </c>
    </row>
    <row r="39" spans="1:6" ht="20.100000000000001" customHeight="1" x14ac:dyDescent="0.25">
      <c r="A39" s="552"/>
      <c r="B39" s="261" t="s">
        <v>455</v>
      </c>
      <c r="C39" s="261" t="s">
        <v>135</v>
      </c>
      <c r="D39" s="261" t="s">
        <v>136</v>
      </c>
      <c r="E39" s="263" t="s">
        <v>456</v>
      </c>
      <c r="F39" s="264" t="s">
        <v>457</v>
      </c>
    </row>
    <row r="40" spans="1:6" ht="20.100000000000001" customHeight="1" x14ac:dyDescent="0.25">
      <c r="A40" s="552"/>
      <c r="B40" s="261" t="s">
        <v>458</v>
      </c>
      <c r="C40" s="261" t="s">
        <v>135</v>
      </c>
      <c r="D40" s="261" t="s">
        <v>136</v>
      </c>
      <c r="E40" s="263" t="s">
        <v>459</v>
      </c>
      <c r="F40" s="264" t="s">
        <v>460</v>
      </c>
    </row>
    <row r="41" spans="1:6" ht="20.100000000000001" customHeight="1" x14ac:dyDescent="0.25">
      <c r="A41" s="552"/>
      <c r="B41" s="265" t="s">
        <v>132</v>
      </c>
      <c r="C41" s="265" t="s">
        <v>135</v>
      </c>
      <c r="D41" s="265" t="s">
        <v>136</v>
      </c>
      <c r="E41" s="266" t="s">
        <v>461</v>
      </c>
      <c r="F41" s="267" t="s">
        <v>462</v>
      </c>
    </row>
    <row r="42" spans="1:6" x14ac:dyDescent="0.25">
      <c r="A42" s="268"/>
    </row>
    <row r="43" spans="1:6" ht="20.100000000000001" customHeight="1" x14ac:dyDescent="0.25">
      <c r="A43" s="551" t="s">
        <v>291</v>
      </c>
      <c r="B43" s="553" t="s">
        <v>6</v>
      </c>
      <c r="C43" s="555" t="s">
        <v>130</v>
      </c>
      <c r="D43" s="556"/>
      <c r="E43" s="555" t="s">
        <v>131</v>
      </c>
      <c r="F43" s="557"/>
    </row>
    <row r="44" spans="1:6" ht="20.100000000000001" customHeight="1" x14ac:dyDescent="0.25">
      <c r="A44" s="552"/>
      <c r="B44" s="554"/>
      <c r="C44" s="257" t="s">
        <v>129</v>
      </c>
      <c r="D44" s="258" t="s">
        <v>7</v>
      </c>
      <c r="E44" s="257" t="s">
        <v>129</v>
      </c>
      <c r="F44" s="259" t="s">
        <v>7</v>
      </c>
    </row>
    <row r="45" spans="1:6" ht="20.100000000000001" customHeight="1" x14ac:dyDescent="0.25">
      <c r="A45" s="552"/>
      <c r="B45" s="260" t="s">
        <v>447</v>
      </c>
      <c r="C45" s="261" t="s">
        <v>8</v>
      </c>
      <c r="D45" s="261" t="s">
        <v>8</v>
      </c>
      <c r="E45" s="261" t="s">
        <v>8</v>
      </c>
      <c r="F45" s="262" t="s">
        <v>8</v>
      </c>
    </row>
    <row r="46" spans="1:6" ht="20.100000000000001" customHeight="1" x14ac:dyDescent="0.25">
      <c r="A46" s="552"/>
      <c r="B46" s="260" t="s">
        <v>448</v>
      </c>
      <c r="C46" s="263">
        <v>0.05</v>
      </c>
      <c r="D46" s="263">
        <v>0.05</v>
      </c>
      <c r="E46" s="263">
        <v>0.05</v>
      </c>
      <c r="F46" s="264">
        <v>0.05</v>
      </c>
    </row>
    <row r="47" spans="1:6" ht="20.100000000000001" customHeight="1" x14ac:dyDescent="0.25">
      <c r="A47" s="552"/>
      <c r="B47" s="260" t="s">
        <v>449</v>
      </c>
      <c r="C47" s="261" t="s">
        <v>134</v>
      </c>
      <c r="D47" s="261" t="s">
        <v>133</v>
      </c>
      <c r="E47" s="263" t="s">
        <v>450</v>
      </c>
      <c r="F47" s="264" t="s">
        <v>451</v>
      </c>
    </row>
    <row r="48" spans="1:6" ht="20.100000000000001" customHeight="1" x14ac:dyDescent="0.25">
      <c r="A48" s="552"/>
      <c r="B48" s="260" t="s">
        <v>452</v>
      </c>
      <c r="C48" s="261" t="s">
        <v>134</v>
      </c>
      <c r="D48" s="261" t="s">
        <v>133</v>
      </c>
      <c r="E48" s="263" t="s">
        <v>453</v>
      </c>
      <c r="F48" s="264" t="s">
        <v>454</v>
      </c>
    </row>
    <row r="49" spans="1:13" ht="20.100000000000001" customHeight="1" x14ac:dyDescent="0.25">
      <c r="A49" s="552"/>
      <c r="B49" s="261" t="s">
        <v>455</v>
      </c>
      <c r="C49" s="261" t="s">
        <v>135</v>
      </c>
      <c r="D49" s="261" t="s">
        <v>136</v>
      </c>
      <c r="E49" s="263" t="s">
        <v>456</v>
      </c>
      <c r="F49" s="264" t="s">
        <v>457</v>
      </c>
    </row>
    <row r="50" spans="1:13" ht="20.100000000000001" customHeight="1" x14ac:dyDescent="0.25">
      <c r="A50" s="552"/>
      <c r="B50" s="261" t="s">
        <v>458</v>
      </c>
      <c r="C50" s="261" t="s">
        <v>135</v>
      </c>
      <c r="D50" s="261" t="s">
        <v>136</v>
      </c>
      <c r="E50" s="263" t="s">
        <v>459</v>
      </c>
      <c r="F50" s="264" t="s">
        <v>460</v>
      </c>
    </row>
    <row r="51" spans="1:13" ht="20.100000000000001" customHeight="1" x14ac:dyDescent="0.25">
      <c r="A51" s="552"/>
      <c r="B51" s="265" t="s">
        <v>132</v>
      </c>
      <c r="C51" s="265" t="s">
        <v>135</v>
      </c>
      <c r="D51" s="265" t="s">
        <v>136</v>
      </c>
      <c r="E51" s="266" t="s">
        <v>461</v>
      </c>
      <c r="F51" s="267" t="s">
        <v>462</v>
      </c>
    </row>
    <row r="52" spans="1:13" x14ac:dyDescent="0.25">
      <c r="A52" s="253"/>
    </row>
    <row r="53" spans="1:13" ht="20.100000000000001" customHeight="1" x14ac:dyDescent="0.25">
      <c r="A53" s="551" t="s">
        <v>290</v>
      </c>
      <c r="B53" s="553" t="s">
        <v>6</v>
      </c>
      <c r="C53" s="555" t="s">
        <v>130</v>
      </c>
      <c r="D53" s="556"/>
      <c r="E53" s="555" t="s">
        <v>131</v>
      </c>
      <c r="F53" s="557"/>
    </row>
    <row r="54" spans="1:13" ht="20.100000000000001" customHeight="1" x14ac:dyDescent="0.25">
      <c r="A54" s="552"/>
      <c r="B54" s="554"/>
      <c r="C54" s="257" t="s">
        <v>129</v>
      </c>
      <c r="D54" s="258" t="s">
        <v>7</v>
      </c>
      <c r="E54" s="257" t="s">
        <v>129</v>
      </c>
      <c r="F54" s="259" t="s">
        <v>7</v>
      </c>
    </row>
    <row r="55" spans="1:13" ht="20.100000000000001" customHeight="1" x14ac:dyDescent="0.25">
      <c r="A55" s="552"/>
      <c r="B55" s="260" t="s">
        <v>447</v>
      </c>
      <c r="C55" s="261" t="s">
        <v>8</v>
      </c>
      <c r="D55" s="261" t="s">
        <v>8</v>
      </c>
      <c r="E55" s="261" t="s">
        <v>8</v>
      </c>
      <c r="F55" s="262" t="s">
        <v>8</v>
      </c>
    </row>
    <row r="56" spans="1:13" ht="20.100000000000001" customHeight="1" x14ac:dyDescent="0.25">
      <c r="A56" s="552"/>
      <c r="B56" s="260" t="s">
        <v>448</v>
      </c>
      <c r="C56" s="263">
        <v>0.05</v>
      </c>
      <c r="D56" s="263">
        <v>0.05</v>
      </c>
      <c r="E56" s="263">
        <v>0.05</v>
      </c>
      <c r="F56" s="264">
        <v>0.05</v>
      </c>
    </row>
    <row r="57" spans="1:13" ht="20.100000000000001" customHeight="1" x14ac:dyDescent="0.25">
      <c r="A57" s="552"/>
      <c r="B57" s="260" t="s">
        <v>449</v>
      </c>
      <c r="C57" s="261" t="s">
        <v>134</v>
      </c>
      <c r="D57" s="261" t="s">
        <v>133</v>
      </c>
      <c r="E57" s="263" t="s">
        <v>450</v>
      </c>
      <c r="F57" s="264" t="s">
        <v>451</v>
      </c>
    </row>
    <row r="58" spans="1:13" ht="20.100000000000001" customHeight="1" x14ac:dyDescent="0.25">
      <c r="A58" s="552"/>
      <c r="B58" s="260" t="s">
        <v>452</v>
      </c>
      <c r="C58" s="261" t="s">
        <v>134</v>
      </c>
      <c r="D58" s="261" t="s">
        <v>133</v>
      </c>
      <c r="E58" s="263" t="s">
        <v>453</v>
      </c>
      <c r="F58" s="264" t="s">
        <v>454</v>
      </c>
    </row>
    <row r="59" spans="1:13" ht="20.100000000000001" customHeight="1" x14ac:dyDescent="0.3">
      <c r="A59" s="552"/>
      <c r="B59" s="261" t="s">
        <v>455</v>
      </c>
      <c r="C59" s="261" t="s">
        <v>135</v>
      </c>
      <c r="D59" s="261" t="s">
        <v>136</v>
      </c>
      <c r="E59" s="263" t="s">
        <v>456</v>
      </c>
      <c r="F59" s="264" t="s">
        <v>457</v>
      </c>
      <c r="H59"/>
      <c r="I59"/>
      <c r="J59"/>
      <c r="K59"/>
      <c r="L59"/>
      <c r="M59"/>
    </row>
    <row r="60" spans="1:13" ht="20.100000000000001" customHeight="1" x14ac:dyDescent="0.3">
      <c r="A60" s="552"/>
      <c r="B60" s="261" t="s">
        <v>458</v>
      </c>
      <c r="C60" s="261" t="s">
        <v>135</v>
      </c>
      <c r="D60" s="261" t="s">
        <v>136</v>
      </c>
      <c r="E60" s="263" t="s">
        <v>459</v>
      </c>
      <c r="F60" s="264" t="s">
        <v>460</v>
      </c>
      <c r="H60"/>
      <c r="I60"/>
      <c r="J60"/>
      <c r="K60"/>
      <c r="L60"/>
      <c r="M60"/>
    </row>
    <row r="61" spans="1:13" ht="20.100000000000001" customHeight="1" x14ac:dyDescent="0.3">
      <c r="A61" s="552"/>
      <c r="B61" s="265" t="s">
        <v>132</v>
      </c>
      <c r="C61" s="265" t="s">
        <v>135</v>
      </c>
      <c r="D61" s="265" t="s">
        <v>136</v>
      </c>
      <c r="E61" s="266" t="s">
        <v>461</v>
      </c>
      <c r="F61" s="267" t="s">
        <v>462</v>
      </c>
      <c r="H61"/>
      <c r="I61"/>
      <c r="J61"/>
      <c r="K61"/>
      <c r="L61"/>
      <c r="M61"/>
    </row>
    <row r="62" spans="1:13" ht="14.4" x14ac:dyDescent="0.3">
      <c r="A62" s="268"/>
      <c r="H62"/>
      <c r="I62"/>
      <c r="J62"/>
      <c r="K62"/>
      <c r="L62"/>
      <c r="M62"/>
    </row>
    <row r="63" spans="1:13" ht="20.100000000000001" customHeight="1" x14ac:dyDescent="0.3">
      <c r="A63" s="558" t="s">
        <v>289</v>
      </c>
      <c r="B63" s="572" t="s">
        <v>6</v>
      </c>
      <c r="C63" s="574" t="s">
        <v>130</v>
      </c>
      <c r="D63" s="575"/>
      <c r="E63" s="574" t="s">
        <v>131</v>
      </c>
      <c r="F63" s="576"/>
      <c r="H63"/>
      <c r="I63"/>
      <c r="J63"/>
      <c r="K63"/>
      <c r="L63"/>
      <c r="M63"/>
    </row>
    <row r="64" spans="1:13" ht="20.100000000000001" customHeight="1" x14ac:dyDescent="0.3">
      <c r="A64" s="558"/>
      <c r="B64" s="573"/>
      <c r="C64" s="271" t="s">
        <v>129</v>
      </c>
      <c r="D64" s="272" t="s">
        <v>7</v>
      </c>
      <c r="E64" s="271" t="s">
        <v>129</v>
      </c>
      <c r="F64" s="273" t="s">
        <v>7</v>
      </c>
      <c r="H64"/>
      <c r="I64"/>
      <c r="J64"/>
      <c r="K64"/>
      <c r="L64"/>
      <c r="M64"/>
    </row>
    <row r="65" spans="1:13" ht="20.100000000000001" customHeight="1" x14ac:dyDescent="0.3">
      <c r="A65" s="558"/>
      <c r="B65" s="281" t="s">
        <v>447</v>
      </c>
      <c r="C65" s="274" t="s">
        <v>8</v>
      </c>
      <c r="D65" s="274" t="s">
        <v>8</v>
      </c>
      <c r="E65" s="274" t="s">
        <v>8</v>
      </c>
      <c r="F65" s="275" t="s">
        <v>8</v>
      </c>
      <c r="H65"/>
      <c r="I65"/>
      <c r="J65"/>
      <c r="K65"/>
      <c r="L65"/>
      <c r="M65"/>
    </row>
    <row r="66" spans="1:13" ht="20.100000000000001" customHeight="1" x14ac:dyDescent="0.3">
      <c r="A66" s="558"/>
      <c r="B66" s="281" t="s">
        <v>468</v>
      </c>
      <c r="C66" s="276">
        <v>0.05</v>
      </c>
      <c r="D66" s="276" t="s">
        <v>8</v>
      </c>
      <c r="E66" s="276">
        <v>0.05</v>
      </c>
      <c r="F66" s="277">
        <v>0.05</v>
      </c>
      <c r="H66"/>
      <c r="I66"/>
      <c r="J66"/>
      <c r="K66"/>
      <c r="L66"/>
      <c r="M66"/>
    </row>
    <row r="67" spans="1:13" ht="20.100000000000001" customHeight="1" x14ac:dyDescent="0.3">
      <c r="A67" s="558"/>
      <c r="B67" s="281" t="s">
        <v>469</v>
      </c>
      <c r="C67" s="276">
        <v>0.05</v>
      </c>
      <c r="D67" s="276">
        <v>0.05</v>
      </c>
      <c r="E67" s="276" t="s">
        <v>473</v>
      </c>
      <c r="F67" s="277" t="s">
        <v>464</v>
      </c>
      <c r="H67"/>
      <c r="I67"/>
      <c r="J67"/>
      <c r="K67"/>
      <c r="L67"/>
      <c r="M67"/>
    </row>
    <row r="68" spans="1:13" ht="20.100000000000001" customHeight="1" x14ac:dyDescent="0.3">
      <c r="A68" s="558"/>
      <c r="B68" s="281" t="s">
        <v>470</v>
      </c>
      <c r="C68" s="274" t="s">
        <v>134</v>
      </c>
      <c r="D68" s="274" t="s">
        <v>133</v>
      </c>
      <c r="E68" s="276" t="s">
        <v>465</v>
      </c>
      <c r="F68" s="277" t="s">
        <v>465</v>
      </c>
      <c r="H68"/>
      <c r="I68"/>
      <c r="J68"/>
      <c r="K68"/>
      <c r="L68"/>
      <c r="M68"/>
    </row>
    <row r="69" spans="1:13" ht="20.100000000000001" customHeight="1" x14ac:dyDescent="0.3">
      <c r="A69" s="558"/>
      <c r="B69" s="282" t="s">
        <v>471</v>
      </c>
      <c r="C69" s="274" t="s">
        <v>135</v>
      </c>
      <c r="D69" s="274" t="s">
        <v>136</v>
      </c>
      <c r="E69" s="276" t="s">
        <v>466</v>
      </c>
      <c r="F69" s="277" t="s">
        <v>466</v>
      </c>
      <c r="H69"/>
      <c r="I69"/>
      <c r="J69"/>
      <c r="K69"/>
      <c r="L69"/>
      <c r="M69"/>
    </row>
    <row r="70" spans="1:13" ht="20.100000000000001" customHeight="1" x14ac:dyDescent="0.3">
      <c r="A70" s="558"/>
      <c r="B70" s="283" t="s">
        <v>132</v>
      </c>
      <c r="C70" s="278" t="s">
        <v>472</v>
      </c>
      <c r="D70" s="278" t="s">
        <v>472</v>
      </c>
      <c r="E70" s="279" t="s">
        <v>467</v>
      </c>
      <c r="F70" s="280" t="s">
        <v>467</v>
      </c>
      <c r="H70"/>
      <c r="I70"/>
      <c r="J70"/>
      <c r="K70"/>
      <c r="L70"/>
      <c r="M70"/>
    </row>
    <row r="71" spans="1:13" ht="14.4" x14ac:dyDescent="0.3">
      <c r="H71"/>
      <c r="I71"/>
      <c r="J71"/>
      <c r="K71"/>
      <c r="L71"/>
      <c r="M71"/>
    </row>
    <row r="72" spans="1:13" ht="20.100000000000001" customHeight="1" x14ac:dyDescent="0.3">
      <c r="A72" s="571" t="s">
        <v>288</v>
      </c>
      <c r="B72" s="572" t="s">
        <v>6</v>
      </c>
      <c r="C72" s="574" t="s">
        <v>130</v>
      </c>
      <c r="D72" s="575"/>
      <c r="E72" s="574" t="s">
        <v>131</v>
      </c>
      <c r="F72" s="576"/>
      <c r="H72"/>
      <c r="I72"/>
      <c r="J72"/>
      <c r="K72"/>
      <c r="L72"/>
      <c r="M72"/>
    </row>
    <row r="73" spans="1:13" ht="20.100000000000001" customHeight="1" x14ac:dyDescent="0.3">
      <c r="A73" s="571"/>
      <c r="B73" s="573"/>
      <c r="C73" s="271" t="s">
        <v>129</v>
      </c>
      <c r="D73" s="272" t="s">
        <v>7</v>
      </c>
      <c r="E73" s="271" t="s">
        <v>129</v>
      </c>
      <c r="F73" s="273" t="s">
        <v>7</v>
      </c>
      <c r="H73"/>
      <c r="I73"/>
      <c r="J73"/>
      <c r="K73"/>
      <c r="L73"/>
      <c r="M73"/>
    </row>
    <row r="74" spans="1:13" ht="20.100000000000001" customHeight="1" x14ac:dyDescent="0.3">
      <c r="A74" s="571"/>
      <c r="B74" s="281" t="s">
        <v>447</v>
      </c>
      <c r="C74" s="274" t="s">
        <v>8</v>
      </c>
      <c r="D74" s="274" t="s">
        <v>8</v>
      </c>
      <c r="E74" s="274" t="s">
        <v>8</v>
      </c>
      <c r="F74" s="274" t="s">
        <v>8</v>
      </c>
      <c r="H74"/>
      <c r="I74"/>
      <c r="J74"/>
      <c r="K74"/>
      <c r="L74"/>
      <c r="M74"/>
    </row>
    <row r="75" spans="1:13" ht="20.100000000000001" customHeight="1" x14ac:dyDescent="0.3">
      <c r="A75" s="571"/>
      <c r="B75" s="281" t="s">
        <v>474</v>
      </c>
      <c r="C75" s="276">
        <v>0.05</v>
      </c>
      <c r="D75" s="276" t="s">
        <v>8</v>
      </c>
      <c r="E75" s="276">
        <v>0.05</v>
      </c>
      <c r="F75" s="276">
        <v>0.05</v>
      </c>
      <c r="H75"/>
      <c r="I75"/>
      <c r="J75"/>
      <c r="K75"/>
      <c r="L75"/>
      <c r="M75"/>
    </row>
    <row r="76" spans="1:13" ht="20.100000000000001" customHeight="1" x14ac:dyDescent="0.3">
      <c r="A76" s="571"/>
      <c r="B76" s="281" t="s">
        <v>475</v>
      </c>
      <c r="C76" s="276">
        <v>0.05</v>
      </c>
      <c r="D76" s="276">
        <v>0.05</v>
      </c>
      <c r="E76" s="276" t="s">
        <v>477</v>
      </c>
      <c r="F76" s="276" t="s">
        <v>477</v>
      </c>
      <c r="H76"/>
      <c r="I76"/>
      <c r="J76"/>
      <c r="K76"/>
      <c r="L76"/>
      <c r="M76"/>
    </row>
    <row r="77" spans="1:13" ht="20.100000000000001" customHeight="1" x14ac:dyDescent="0.3">
      <c r="A77" s="571"/>
      <c r="B77" s="281" t="s">
        <v>476</v>
      </c>
      <c r="C77" s="274" t="s">
        <v>134</v>
      </c>
      <c r="D77" s="274" t="s">
        <v>133</v>
      </c>
      <c r="E77" s="276" t="s">
        <v>258</v>
      </c>
      <c r="F77" s="276" t="s">
        <v>258</v>
      </c>
      <c r="H77"/>
      <c r="I77"/>
      <c r="J77"/>
      <c r="K77"/>
      <c r="L77"/>
      <c r="M77"/>
    </row>
    <row r="78" spans="1:13" ht="20.100000000000001" customHeight="1" x14ac:dyDescent="0.3">
      <c r="A78" s="571"/>
      <c r="B78" s="282" t="s">
        <v>471</v>
      </c>
      <c r="C78" s="274" t="s">
        <v>135</v>
      </c>
      <c r="D78" s="274" t="s">
        <v>136</v>
      </c>
      <c r="E78" s="276" t="s">
        <v>259</v>
      </c>
      <c r="F78" s="276" t="s">
        <v>259</v>
      </c>
      <c r="H78"/>
      <c r="I78"/>
      <c r="J78"/>
      <c r="K78"/>
      <c r="L78"/>
      <c r="M78"/>
    </row>
    <row r="79" spans="1:13" ht="20.100000000000001" customHeight="1" x14ac:dyDescent="0.3">
      <c r="A79" s="571"/>
      <c r="B79" s="283" t="s">
        <v>132</v>
      </c>
      <c r="C79" s="278" t="s">
        <v>472</v>
      </c>
      <c r="D79" s="278" t="s">
        <v>472</v>
      </c>
      <c r="E79" s="279" t="s">
        <v>260</v>
      </c>
      <c r="F79" s="279" t="s">
        <v>260</v>
      </c>
      <c r="H79"/>
      <c r="I79"/>
      <c r="J79"/>
      <c r="K79"/>
      <c r="L79"/>
      <c r="M79"/>
    </row>
    <row r="80" spans="1:13" ht="14.4" x14ac:dyDescent="0.3">
      <c r="H80"/>
      <c r="I80"/>
      <c r="J80"/>
      <c r="K80"/>
      <c r="L80"/>
      <c r="M80"/>
    </row>
    <row r="81" spans="8:13" ht="14.4" x14ac:dyDescent="0.3">
      <c r="H81"/>
      <c r="I81"/>
      <c r="J81"/>
      <c r="K81"/>
      <c r="L81"/>
      <c r="M81"/>
    </row>
  </sheetData>
  <sheetProtection algorithmName="SHA-512" hashValue="mQd+2zo9gHLmWb6IlH+vu0VRE1ane2w7NBqtzi8JjU6PZllHiwDV2SICAcIk9j4/soyInKrMz45wFyy8GTetdg==" saltValue="/Nfo24EcY4AInxMJYlpeQQ==" spinCount="100000" sheet="1" selectLockedCells="1"/>
  <mergeCells count="32">
    <mergeCell ref="A72:A79"/>
    <mergeCell ref="B72:B73"/>
    <mergeCell ref="C72:D72"/>
    <mergeCell ref="E72:F72"/>
    <mergeCell ref="A63:A70"/>
    <mergeCell ref="B63:B64"/>
    <mergeCell ref="C63:D63"/>
    <mergeCell ref="E63:F63"/>
    <mergeCell ref="A1:F1"/>
    <mergeCell ref="A2:F2"/>
    <mergeCell ref="A5:A9"/>
    <mergeCell ref="F5:F9"/>
    <mergeCell ref="A11:A15"/>
    <mergeCell ref="F11:F15"/>
    <mergeCell ref="A17:A21"/>
    <mergeCell ref="F17:F21"/>
    <mergeCell ref="A23:A26"/>
    <mergeCell ref="F23:F26"/>
    <mergeCell ref="A28:A31"/>
    <mergeCell ref="F28:F31"/>
    <mergeCell ref="A53:A61"/>
    <mergeCell ref="B53:B54"/>
    <mergeCell ref="C53:D53"/>
    <mergeCell ref="E53:F53"/>
    <mergeCell ref="A33:A41"/>
    <mergeCell ref="B33:B34"/>
    <mergeCell ref="C33:D33"/>
    <mergeCell ref="E33:F33"/>
    <mergeCell ref="A43:A51"/>
    <mergeCell ref="B43:B44"/>
    <mergeCell ref="C43:D43"/>
    <mergeCell ref="E43:F43"/>
  </mergeCells>
  <printOptions horizontalCentered="1"/>
  <pageMargins left="0.19685039370078741" right="0.19685039370078741" top="1.1399999999999999" bottom="0.35433070866141736" header="0.15748031496062992"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77EA-4383-47AF-827A-4ECE518F6842}">
  <sheetPr codeName="Sheet11"/>
  <dimension ref="B1:H12"/>
  <sheetViews>
    <sheetView showGridLines="0" showRowColHeaders="0" workbookViewId="0">
      <pane ySplit="1" topLeftCell="A3" activePane="bottomLeft" state="frozen"/>
      <selection activeCell="B3" sqref="B3:H3"/>
      <selection pane="bottomLeft" activeCell="B3" sqref="B3:H3"/>
    </sheetView>
  </sheetViews>
  <sheetFormatPr defaultRowHeight="13.2" x14ac:dyDescent="0.25"/>
  <cols>
    <col min="1" max="1" width="17.109375" style="151" customWidth="1"/>
    <col min="2" max="2" width="5.109375" style="161" customWidth="1"/>
    <col min="3" max="3" width="91.5546875" style="151" customWidth="1"/>
    <col min="4" max="256" width="9.109375" style="151"/>
    <col min="257" max="257" width="17.109375" style="151" customWidth="1"/>
    <col min="258" max="258" width="5.109375" style="151" customWidth="1"/>
    <col min="259" max="259" width="91.5546875" style="151" customWidth="1"/>
    <col min="260" max="512" width="9.109375" style="151"/>
    <col min="513" max="513" width="17.109375" style="151" customWidth="1"/>
    <col min="514" max="514" width="5.109375" style="151" customWidth="1"/>
    <col min="515" max="515" width="91.5546875" style="151" customWidth="1"/>
    <col min="516" max="768" width="9.109375" style="151"/>
    <col min="769" max="769" width="17.109375" style="151" customWidth="1"/>
    <col min="770" max="770" width="5.109375" style="151" customWidth="1"/>
    <col min="771" max="771" width="91.5546875" style="151" customWidth="1"/>
    <col min="772" max="1024" width="9.109375" style="151"/>
    <col min="1025" max="1025" width="17.109375" style="151" customWidth="1"/>
    <col min="1026" max="1026" width="5.109375" style="151" customWidth="1"/>
    <col min="1027" max="1027" width="91.5546875" style="151" customWidth="1"/>
    <col min="1028" max="1280" width="9.109375" style="151"/>
    <col min="1281" max="1281" width="17.109375" style="151" customWidth="1"/>
    <col min="1282" max="1282" width="5.109375" style="151" customWidth="1"/>
    <col min="1283" max="1283" width="91.5546875" style="151" customWidth="1"/>
    <col min="1284" max="1536" width="9.109375" style="151"/>
    <col min="1537" max="1537" width="17.109375" style="151" customWidth="1"/>
    <col min="1538" max="1538" width="5.109375" style="151" customWidth="1"/>
    <col min="1539" max="1539" width="91.5546875" style="151" customWidth="1"/>
    <col min="1540" max="1792" width="9.109375" style="151"/>
    <col min="1793" max="1793" width="17.109375" style="151" customWidth="1"/>
    <col min="1794" max="1794" width="5.109375" style="151" customWidth="1"/>
    <col min="1795" max="1795" width="91.5546875" style="151" customWidth="1"/>
    <col min="1796" max="2048" width="9.109375" style="151"/>
    <col min="2049" max="2049" width="17.109375" style="151" customWidth="1"/>
    <col min="2050" max="2050" width="5.109375" style="151" customWidth="1"/>
    <col min="2051" max="2051" width="91.5546875" style="151" customWidth="1"/>
    <col min="2052" max="2304" width="9.109375" style="151"/>
    <col min="2305" max="2305" width="17.109375" style="151" customWidth="1"/>
    <col min="2306" max="2306" width="5.109375" style="151" customWidth="1"/>
    <col min="2307" max="2307" width="91.5546875" style="151" customWidth="1"/>
    <col min="2308" max="2560" width="9.109375" style="151"/>
    <col min="2561" max="2561" width="17.109375" style="151" customWidth="1"/>
    <col min="2562" max="2562" width="5.109375" style="151" customWidth="1"/>
    <col min="2563" max="2563" width="91.5546875" style="151" customWidth="1"/>
    <col min="2564" max="2816" width="9.109375" style="151"/>
    <col min="2817" max="2817" width="17.109375" style="151" customWidth="1"/>
    <col min="2818" max="2818" width="5.109375" style="151" customWidth="1"/>
    <col min="2819" max="2819" width="91.5546875" style="151" customWidth="1"/>
    <col min="2820" max="3072" width="9.109375" style="151"/>
    <col min="3073" max="3073" width="17.109375" style="151" customWidth="1"/>
    <col min="3074" max="3074" width="5.109375" style="151" customWidth="1"/>
    <col min="3075" max="3075" width="91.5546875" style="151" customWidth="1"/>
    <col min="3076" max="3328" width="9.109375" style="151"/>
    <col min="3329" max="3329" width="17.109375" style="151" customWidth="1"/>
    <col min="3330" max="3330" width="5.109375" style="151" customWidth="1"/>
    <col min="3331" max="3331" width="91.5546875" style="151" customWidth="1"/>
    <col min="3332" max="3584" width="9.109375" style="151"/>
    <col min="3585" max="3585" width="17.109375" style="151" customWidth="1"/>
    <col min="3586" max="3586" width="5.109375" style="151" customWidth="1"/>
    <col min="3587" max="3587" width="91.5546875" style="151" customWidth="1"/>
    <col min="3588" max="3840" width="9.109375" style="151"/>
    <col min="3841" max="3841" width="17.109375" style="151" customWidth="1"/>
    <col min="3842" max="3842" width="5.109375" style="151" customWidth="1"/>
    <col min="3843" max="3843" width="91.5546875" style="151" customWidth="1"/>
    <col min="3844" max="4096" width="9.109375" style="151"/>
    <col min="4097" max="4097" width="17.109375" style="151" customWidth="1"/>
    <col min="4098" max="4098" width="5.109375" style="151" customWidth="1"/>
    <col min="4099" max="4099" width="91.5546875" style="151" customWidth="1"/>
    <col min="4100" max="4352" width="9.109375" style="151"/>
    <col min="4353" max="4353" width="17.109375" style="151" customWidth="1"/>
    <col min="4354" max="4354" width="5.109375" style="151" customWidth="1"/>
    <col min="4355" max="4355" width="91.5546875" style="151" customWidth="1"/>
    <col min="4356" max="4608" width="9.109375" style="151"/>
    <col min="4609" max="4609" width="17.109375" style="151" customWidth="1"/>
    <col min="4610" max="4610" width="5.109375" style="151" customWidth="1"/>
    <col min="4611" max="4611" width="91.5546875" style="151" customWidth="1"/>
    <col min="4612" max="4864" width="9.109375" style="151"/>
    <col min="4865" max="4865" width="17.109375" style="151" customWidth="1"/>
    <col min="4866" max="4866" width="5.109375" style="151" customWidth="1"/>
    <col min="4867" max="4867" width="91.5546875" style="151" customWidth="1"/>
    <col min="4868" max="5120" width="9.109375" style="151"/>
    <col min="5121" max="5121" width="17.109375" style="151" customWidth="1"/>
    <col min="5122" max="5122" width="5.109375" style="151" customWidth="1"/>
    <col min="5123" max="5123" width="91.5546875" style="151" customWidth="1"/>
    <col min="5124" max="5376" width="9.109375" style="151"/>
    <col min="5377" max="5377" width="17.109375" style="151" customWidth="1"/>
    <col min="5378" max="5378" width="5.109375" style="151" customWidth="1"/>
    <col min="5379" max="5379" width="91.5546875" style="151" customWidth="1"/>
    <col min="5380" max="5632" width="9.109375" style="151"/>
    <col min="5633" max="5633" width="17.109375" style="151" customWidth="1"/>
    <col min="5634" max="5634" width="5.109375" style="151" customWidth="1"/>
    <col min="5635" max="5635" width="91.5546875" style="151" customWidth="1"/>
    <col min="5636" max="5888" width="9.109375" style="151"/>
    <col min="5889" max="5889" width="17.109375" style="151" customWidth="1"/>
    <col min="5890" max="5890" width="5.109375" style="151" customWidth="1"/>
    <col min="5891" max="5891" width="91.5546875" style="151" customWidth="1"/>
    <col min="5892" max="6144" width="9.109375" style="151"/>
    <col min="6145" max="6145" width="17.109375" style="151" customWidth="1"/>
    <col min="6146" max="6146" width="5.109375" style="151" customWidth="1"/>
    <col min="6147" max="6147" width="91.5546875" style="151" customWidth="1"/>
    <col min="6148" max="6400" width="9.109375" style="151"/>
    <col min="6401" max="6401" width="17.109375" style="151" customWidth="1"/>
    <col min="6402" max="6402" width="5.109375" style="151" customWidth="1"/>
    <col min="6403" max="6403" width="91.5546875" style="151" customWidth="1"/>
    <col min="6404" max="6656" width="9.109375" style="151"/>
    <col min="6657" max="6657" width="17.109375" style="151" customWidth="1"/>
    <col min="6658" max="6658" width="5.109375" style="151" customWidth="1"/>
    <col min="6659" max="6659" width="91.5546875" style="151" customWidth="1"/>
    <col min="6660" max="6912" width="9.109375" style="151"/>
    <col min="6913" max="6913" width="17.109375" style="151" customWidth="1"/>
    <col min="6914" max="6914" width="5.109375" style="151" customWidth="1"/>
    <col min="6915" max="6915" width="91.5546875" style="151" customWidth="1"/>
    <col min="6916" max="7168" width="9.109375" style="151"/>
    <col min="7169" max="7169" width="17.109375" style="151" customWidth="1"/>
    <col min="7170" max="7170" width="5.109375" style="151" customWidth="1"/>
    <col min="7171" max="7171" width="91.5546875" style="151" customWidth="1"/>
    <col min="7172" max="7424" width="9.109375" style="151"/>
    <col min="7425" max="7425" width="17.109375" style="151" customWidth="1"/>
    <col min="7426" max="7426" width="5.109375" style="151" customWidth="1"/>
    <col min="7427" max="7427" width="91.5546875" style="151" customWidth="1"/>
    <col min="7428" max="7680" width="9.109375" style="151"/>
    <col min="7681" max="7681" width="17.109375" style="151" customWidth="1"/>
    <col min="7682" max="7682" width="5.109375" style="151" customWidth="1"/>
    <col min="7683" max="7683" width="91.5546875" style="151" customWidth="1"/>
    <col min="7684" max="7936" width="9.109375" style="151"/>
    <col min="7937" max="7937" width="17.109375" style="151" customWidth="1"/>
    <col min="7938" max="7938" width="5.109375" style="151" customWidth="1"/>
    <col min="7939" max="7939" width="91.5546875" style="151" customWidth="1"/>
    <col min="7940" max="8192" width="9.109375" style="151"/>
    <col min="8193" max="8193" width="17.109375" style="151" customWidth="1"/>
    <col min="8194" max="8194" width="5.109375" style="151" customWidth="1"/>
    <col min="8195" max="8195" width="91.5546875" style="151" customWidth="1"/>
    <col min="8196" max="8448" width="9.109375" style="151"/>
    <col min="8449" max="8449" width="17.109375" style="151" customWidth="1"/>
    <col min="8450" max="8450" width="5.109375" style="151" customWidth="1"/>
    <col min="8451" max="8451" width="91.5546875" style="151" customWidth="1"/>
    <col min="8452" max="8704" width="9.109375" style="151"/>
    <col min="8705" max="8705" width="17.109375" style="151" customWidth="1"/>
    <col min="8706" max="8706" width="5.109375" style="151" customWidth="1"/>
    <col min="8707" max="8707" width="91.5546875" style="151" customWidth="1"/>
    <col min="8708" max="8960" width="9.109375" style="151"/>
    <col min="8961" max="8961" width="17.109375" style="151" customWidth="1"/>
    <col min="8962" max="8962" width="5.109375" style="151" customWidth="1"/>
    <col min="8963" max="8963" width="91.5546875" style="151" customWidth="1"/>
    <col min="8964" max="9216" width="9.109375" style="151"/>
    <col min="9217" max="9217" width="17.109375" style="151" customWidth="1"/>
    <col min="9218" max="9218" width="5.109375" style="151" customWidth="1"/>
    <col min="9219" max="9219" width="91.5546875" style="151" customWidth="1"/>
    <col min="9220" max="9472" width="9.109375" style="151"/>
    <col min="9473" max="9473" width="17.109375" style="151" customWidth="1"/>
    <col min="9474" max="9474" width="5.109375" style="151" customWidth="1"/>
    <col min="9475" max="9475" width="91.5546875" style="151" customWidth="1"/>
    <col min="9476" max="9728" width="9.109375" style="151"/>
    <col min="9729" max="9729" width="17.109375" style="151" customWidth="1"/>
    <col min="9730" max="9730" width="5.109375" style="151" customWidth="1"/>
    <col min="9731" max="9731" width="91.5546875" style="151" customWidth="1"/>
    <col min="9732" max="9984" width="9.109375" style="151"/>
    <col min="9985" max="9985" width="17.109375" style="151" customWidth="1"/>
    <col min="9986" max="9986" width="5.109375" style="151" customWidth="1"/>
    <col min="9987" max="9987" width="91.5546875" style="151" customWidth="1"/>
    <col min="9988" max="10240" width="9.109375" style="151"/>
    <col min="10241" max="10241" width="17.109375" style="151" customWidth="1"/>
    <col min="10242" max="10242" width="5.109375" style="151" customWidth="1"/>
    <col min="10243" max="10243" width="91.5546875" style="151" customWidth="1"/>
    <col min="10244" max="10496" width="9.109375" style="151"/>
    <col min="10497" max="10497" width="17.109375" style="151" customWidth="1"/>
    <col min="10498" max="10498" width="5.109375" style="151" customWidth="1"/>
    <col min="10499" max="10499" width="91.5546875" style="151" customWidth="1"/>
    <col min="10500" max="10752" width="9.109375" style="151"/>
    <col min="10753" max="10753" width="17.109375" style="151" customWidth="1"/>
    <col min="10754" max="10754" width="5.109375" style="151" customWidth="1"/>
    <col min="10755" max="10755" width="91.5546875" style="151" customWidth="1"/>
    <col min="10756" max="11008" width="9.109375" style="151"/>
    <col min="11009" max="11009" width="17.109375" style="151" customWidth="1"/>
    <col min="11010" max="11010" width="5.109375" style="151" customWidth="1"/>
    <col min="11011" max="11011" width="91.5546875" style="151" customWidth="1"/>
    <col min="11012" max="11264" width="9.109375" style="151"/>
    <col min="11265" max="11265" width="17.109375" style="151" customWidth="1"/>
    <col min="11266" max="11266" width="5.109375" style="151" customWidth="1"/>
    <col min="11267" max="11267" width="91.5546875" style="151" customWidth="1"/>
    <col min="11268" max="11520" width="9.109375" style="151"/>
    <col min="11521" max="11521" width="17.109375" style="151" customWidth="1"/>
    <col min="11522" max="11522" width="5.109375" style="151" customWidth="1"/>
    <col min="11523" max="11523" width="91.5546875" style="151" customWidth="1"/>
    <col min="11524" max="11776" width="9.109375" style="151"/>
    <col min="11777" max="11777" width="17.109375" style="151" customWidth="1"/>
    <col min="11778" max="11778" width="5.109375" style="151" customWidth="1"/>
    <col min="11779" max="11779" width="91.5546875" style="151" customWidth="1"/>
    <col min="11780" max="12032" width="9.109375" style="151"/>
    <col min="12033" max="12033" width="17.109375" style="151" customWidth="1"/>
    <col min="12034" max="12034" width="5.109375" style="151" customWidth="1"/>
    <col min="12035" max="12035" width="91.5546875" style="151" customWidth="1"/>
    <col min="12036" max="12288" width="9.109375" style="151"/>
    <col min="12289" max="12289" width="17.109375" style="151" customWidth="1"/>
    <col min="12290" max="12290" width="5.109375" style="151" customWidth="1"/>
    <col min="12291" max="12291" width="91.5546875" style="151" customWidth="1"/>
    <col min="12292" max="12544" width="9.109375" style="151"/>
    <col min="12545" max="12545" width="17.109375" style="151" customWidth="1"/>
    <col min="12546" max="12546" width="5.109375" style="151" customWidth="1"/>
    <col min="12547" max="12547" width="91.5546875" style="151" customWidth="1"/>
    <col min="12548" max="12800" width="9.109375" style="151"/>
    <col min="12801" max="12801" width="17.109375" style="151" customWidth="1"/>
    <col min="12802" max="12802" width="5.109375" style="151" customWidth="1"/>
    <col min="12803" max="12803" width="91.5546875" style="151" customWidth="1"/>
    <col min="12804" max="13056" width="9.109375" style="151"/>
    <col min="13057" max="13057" width="17.109375" style="151" customWidth="1"/>
    <col min="13058" max="13058" width="5.109375" style="151" customWidth="1"/>
    <col min="13059" max="13059" width="91.5546875" style="151" customWidth="1"/>
    <col min="13060" max="13312" width="9.109375" style="151"/>
    <col min="13313" max="13313" width="17.109375" style="151" customWidth="1"/>
    <col min="13314" max="13314" width="5.109375" style="151" customWidth="1"/>
    <col min="13315" max="13315" width="91.5546875" style="151" customWidth="1"/>
    <col min="13316" max="13568" width="9.109375" style="151"/>
    <col min="13569" max="13569" width="17.109375" style="151" customWidth="1"/>
    <col min="13570" max="13570" width="5.109375" style="151" customWidth="1"/>
    <col min="13571" max="13571" width="91.5546875" style="151" customWidth="1"/>
    <col min="13572" max="13824" width="9.109375" style="151"/>
    <col min="13825" max="13825" width="17.109375" style="151" customWidth="1"/>
    <col min="13826" max="13826" width="5.109375" style="151" customWidth="1"/>
    <col min="13827" max="13827" width="91.5546875" style="151" customWidth="1"/>
    <col min="13828" max="14080" width="9.109375" style="151"/>
    <col min="14081" max="14081" width="17.109375" style="151" customWidth="1"/>
    <col min="14082" max="14082" width="5.109375" style="151" customWidth="1"/>
    <col min="14083" max="14083" width="91.5546875" style="151" customWidth="1"/>
    <col min="14084" max="14336" width="9.109375" style="151"/>
    <col min="14337" max="14337" width="17.109375" style="151" customWidth="1"/>
    <col min="14338" max="14338" width="5.109375" style="151" customWidth="1"/>
    <col min="14339" max="14339" width="91.5546875" style="151" customWidth="1"/>
    <col min="14340" max="14592" width="9.109375" style="151"/>
    <col min="14593" max="14593" width="17.109375" style="151" customWidth="1"/>
    <col min="14594" max="14594" width="5.109375" style="151" customWidth="1"/>
    <col min="14595" max="14595" width="91.5546875" style="151" customWidth="1"/>
    <col min="14596" max="14848" width="9.109375" style="151"/>
    <col min="14849" max="14849" width="17.109375" style="151" customWidth="1"/>
    <col min="14850" max="14850" width="5.109375" style="151" customWidth="1"/>
    <col min="14851" max="14851" width="91.5546875" style="151" customWidth="1"/>
    <col min="14852" max="15104" width="9.109375" style="151"/>
    <col min="15105" max="15105" width="17.109375" style="151" customWidth="1"/>
    <col min="15106" max="15106" width="5.109375" style="151" customWidth="1"/>
    <col min="15107" max="15107" width="91.5546875" style="151" customWidth="1"/>
    <col min="15108" max="15360" width="9.109375" style="151"/>
    <col min="15361" max="15361" width="17.109375" style="151" customWidth="1"/>
    <col min="15362" max="15362" width="5.109375" style="151" customWidth="1"/>
    <col min="15363" max="15363" width="91.5546875" style="151" customWidth="1"/>
    <col min="15364" max="15616" width="9.109375" style="151"/>
    <col min="15617" max="15617" width="17.109375" style="151" customWidth="1"/>
    <col min="15618" max="15618" width="5.109375" style="151" customWidth="1"/>
    <col min="15619" max="15619" width="91.5546875" style="151" customWidth="1"/>
    <col min="15620" max="15872" width="9.109375" style="151"/>
    <col min="15873" max="15873" width="17.109375" style="151" customWidth="1"/>
    <col min="15874" max="15874" width="5.109375" style="151" customWidth="1"/>
    <col min="15875" max="15875" width="91.5546875" style="151" customWidth="1"/>
    <col min="15876" max="16128" width="9.109375" style="151"/>
    <col min="16129" max="16129" width="17.109375" style="151" customWidth="1"/>
    <col min="16130" max="16130" width="5.109375" style="151" customWidth="1"/>
    <col min="16131" max="16131" width="91.5546875" style="151" customWidth="1"/>
    <col min="16132" max="16384" width="9.109375" style="151"/>
  </cols>
  <sheetData>
    <row r="1" spans="2:8" ht="48" customHeight="1" x14ac:dyDescent="0.25">
      <c r="B1" s="577" t="s">
        <v>267</v>
      </c>
      <c r="C1" s="577"/>
    </row>
    <row r="2" spans="2:8" ht="40.5" customHeight="1" x14ac:dyDescent="0.25">
      <c r="B2" s="578"/>
      <c r="C2" s="578"/>
    </row>
    <row r="3" spans="2:8" s="155" customFormat="1" ht="75" x14ac:dyDescent="0.3">
      <c r="B3" s="152">
        <v>1</v>
      </c>
      <c r="C3" s="153" t="s">
        <v>268</v>
      </c>
      <c r="D3" s="154"/>
      <c r="E3" s="154"/>
      <c r="F3" s="154"/>
      <c r="G3" s="154"/>
      <c r="H3" s="154"/>
    </row>
    <row r="4" spans="2:8" s="155" customFormat="1" ht="69" customHeight="1" x14ac:dyDescent="0.3">
      <c r="B4" s="152"/>
      <c r="C4" s="153" t="s">
        <v>269</v>
      </c>
      <c r="D4" s="154"/>
      <c r="E4" s="154"/>
      <c r="F4" s="154"/>
      <c r="G4" s="154"/>
      <c r="H4" s="154"/>
    </row>
    <row r="5" spans="2:8" s="155" customFormat="1" ht="55.5" customHeight="1" x14ac:dyDescent="0.3">
      <c r="B5" s="156">
        <v>2</v>
      </c>
      <c r="C5" s="153" t="s">
        <v>270</v>
      </c>
    </row>
    <row r="6" spans="2:8" s="155" customFormat="1" ht="36" customHeight="1" x14ac:dyDescent="0.3">
      <c r="B6" s="152">
        <v>3</v>
      </c>
      <c r="C6" s="153" t="s">
        <v>271</v>
      </c>
    </row>
    <row r="7" spans="2:8" s="155" customFormat="1" ht="46.5" customHeight="1" x14ac:dyDescent="0.3">
      <c r="B7" s="156">
        <v>4</v>
      </c>
      <c r="C7" s="153" t="s">
        <v>272</v>
      </c>
    </row>
    <row r="8" spans="2:8" s="155" customFormat="1" ht="105" x14ac:dyDescent="0.3">
      <c r="B8" s="152">
        <v>5</v>
      </c>
      <c r="C8" s="153" t="s">
        <v>273</v>
      </c>
    </row>
    <row r="9" spans="2:8" s="155" customFormat="1" ht="76.5" customHeight="1" x14ac:dyDescent="0.3">
      <c r="B9" s="152">
        <v>6</v>
      </c>
      <c r="C9" s="153" t="s">
        <v>274</v>
      </c>
    </row>
    <row r="10" spans="2:8" s="155" customFormat="1" ht="76.5" customHeight="1" x14ac:dyDescent="0.3">
      <c r="B10" s="156">
        <v>7</v>
      </c>
      <c r="C10" s="153" t="s">
        <v>275</v>
      </c>
    </row>
    <row r="11" spans="2:8" s="155" customFormat="1" ht="49.5" customHeight="1" x14ac:dyDescent="0.3">
      <c r="B11" s="157">
        <v>8</v>
      </c>
      <c r="C11" s="158" t="s">
        <v>276</v>
      </c>
    </row>
    <row r="12" spans="2:8" s="155" customFormat="1" ht="84" customHeight="1" x14ac:dyDescent="0.3">
      <c r="B12" s="159">
        <v>9</v>
      </c>
      <c r="C12" s="160" t="s">
        <v>277</v>
      </c>
    </row>
  </sheetData>
  <sheetProtection algorithmName="SHA-512" hashValue="cOj4k3nXoCPTXcQoVPwd0qF7p6Kn0o5LyUwLve2xmE+m0uOC1YFMHiqu7DYaP/X23rsbD5NK+ZnDY7V9K71SiA==" saltValue="/ABw5fC8ZQxtxJWhYbSmUA==" spinCount="100000" sheet="1"/>
  <mergeCells count="2">
    <mergeCell ref="B1:C1"/>
    <mergeCell ref="B2:C2"/>
  </mergeCells>
  <pageMargins left="0.78749999999999998" right="0.78749999999999998" top="1.0249999999999999" bottom="1.0249999999999999" header="0.78749999999999998" footer="0.78749999999999998"/>
  <pageSetup orientation="portrait" useFirstPageNumber="1" horizontalDpi="300" verticalDpi="300"/>
  <headerFooter alignWithMargins="0">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Form</vt:lpstr>
      <vt:lpstr>Monthly Salary</vt:lpstr>
      <vt:lpstr>IT statement</vt:lpstr>
      <vt:lpstr>Data</vt:lpstr>
      <vt:lpstr>Form 10E</vt:lpstr>
      <vt:lpstr>Calc</vt:lpstr>
      <vt:lpstr>Rates</vt:lpstr>
      <vt:lpstr>HELP</vt:lpstr>
      <vt:lpstr>data</vt:lpstr>
      <vt:lpstr>Data!Print_Area</vt:lpstr>
      <vt:lpstr>Form!Print_Area</vt:lpstr>
      <vt:lpstr>'Form 10E'!Print_Area</vt:lpstr>
      <vt:lpstr>'IT statement'!Print_Area</vt:lpstr>
      <vt:lpstr>'Monthly Salary'!Print_Area</vt:lpstr>
      <vt:lpstr>Rates!Print_Area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Mohan Ramalingam</dc:creator>
  <cp:lastModifiedBy>Mohan Ramalingam</cp:lastModifiedBy>
  <cp:lastPrinted>2025-11-04T08:47:47Z</cp:lastPrinted>
  <dcterms:created xsi:type="dcterms:W3CDTF">2013-10-07T13:59:33Z</dcterms:created>
  <dcterms:modified xsi:type="dcterms:W3CDTF">2025-11-04T08:53:56Z</dcterms:modified>
</cp:coreProperties>
</file>